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celo\OBRAS\CAMPO DE FUTEBOL FERNÃO DIAS\"/>
    </mc:Choice>
  </mc:AlternateContent>
  <bookViews>
    <workbookView xWindow="0" yWindow="0" windowWidth="28800" windowHeight="12315"/>
  </bookViews>
  <sheets>
    <sheet name="PLANILHA ORÇAMENTÁRIA" sheetId="6" r:id="rId1"/>
    <sheet name="MEMÓRIA DE CÁLCULO" sheetId="4" r:id="rId2"/>
    <sheet name="CRONOGRAMA" sheetId="7" r:id="rId3"/>
    <sheet name="BDI" sheetId="5" r:id="rId4"/>
  </sheets>
  <externalReferences>
    <externalReference r:id="rId5"/>
    <externalReference r:id="rId6"/>
  </externalReferences>
  <definedNames>
    <definedName name="_xlnm.Print_Area" localSheetId="3">BDI!$A$1:$J$38</definedName>
    <definedName name="_xlnm.Print_Area" localSheetId="2">CRONOGRAMA!$A$2:$M$22</definedName>
    <definedName name="_xlnm.Print_Area" localSheetId="1">'MEMÓRIA DE CÁLCULO'!$A$1:$J$169</definedName>
    <definedName name="_xlnm.Print_Area" localSheetId="0">'PLANILHA ORÇAMENTÁRIA'!$A$1:$I$48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7" l="1"/>
  <c r="B16" i="7"/>
  <c r="B15" i="7"/>
  <c r="M4" i="7"/>
  <c r="B106" i="4" l="1"/>
  <c r="B105" i="4"/>
  <c r="D105" i="4"/>
  <c r="I109" i="4"/>
  <c r="I108" i="4"/>
  <c r="I121" i="4"/>
  <c r="I133" i="4"/>
  <c r="I127" i="4"/>
  <c r="I115" i="4"/>
  <c r="I110" i="4" l="1"/>
  <c r="F27" i="6" s="1"/>
  <c r="I139" i="4"/>
  <c r="D124" i="4"/>
  <c r="B125" i="4"/>
  <c r="B124" i="4"/>
  <c r="D112" i="4"/>
  <c r="B113" i="4"/>
  <c r="B112" i="4"/>
  <c r="H27" i="6"/>
  <c r="I27" i="6" l="1"/>
  <c r="I128" i="4"/>
  <c r="F30" i="6" s="1"/>
  <c r="I116" i="4"/>
  <c r="F28" i="6" s="1"/>
  <c r="I30" i="6" l="1"/>
  <c r="H28" i="6"/>
  <c r="I28" i="6" s="1"/>
  <c r="H29" i="6"/>
  <c r="A5" i="4" l="1"/>
  <c r="I161" i="4" l="1"/>
  <c r="I159" i="4"/>
  <c r="I160" i="4"/>
  <c r="I162" i="4"/>
  <c r="I158" i="4"/>
  <c r="D155" i="4"/>
  <c r="B156" i="4"/>
  <c r="B155" i="4"/>
  <c r="B153" i="4"/>
  <c r="A153" i="4"/>
  <c r="I163" i="4" l="1"/>
  <c r="F40" i="6" s="1"/>
  <c r="B33" i="4"/>
  <c r="B32" i="4"/>
  <c r="I102" i="4" l="1"/>
  <c r="I101" i="4"/>
  <c r="I148" i="4"/>
  <c r="I103" i="4" l="1"/>
  <c r="I140" i="4"/>
  <c r="E87" i="4" l="1"/>
  <c r="F26" i="6"/>
  <c r="B50" i="4"/>
  <c r="D32" i="4"/>
  <c r="D49" i="4" s="1"/>
  <c r="N19" i="6" l="1"/>
  <c r="H18" i="6" l="1"/>
  <c r="A142" i="4" l="1"/>
  <c r="B142" i="4"/>
  <c r="B144" i="4"/>
  <c r="B145" i="4"/>
  <c r="D144" i="4"/>
  <c r="H36" i="6"/>
  <c r="I149" i="4" l="1"/>
  <c r="I147" i="4"/>
  <c r="I150" i="4"/>
  <c r="B69" i="4"/>
  <c r="B68" i="4"/>
  <c r="D68" i="4"/>
  <c r="A66" i="4"/>
  <c r="B66" i="4"/>
  <c r="H22" i="6"/>
  <c r="I73" i="4"/>
  <c r="I72" i="4"/>
  <c r="I71" i="4"/>
  <c r="I74" i="4" l="1"/>
  <c r="I151" i="4"/>
  <c r="D87" i="4" l="1"/>
  <c r="F22" i="6"/>
  <c r="I22" i="6" s="1"/>
  <c r="F36" i="6"/>
  <c r="I36" i="6" s="1"/>
  <c r="I37" i="6" s="1"/>
  <c r="D16" i="7" s="1"/>
  <c r="F46" i="4"/>
  <c r="I46" i="4" s="1"/>
  <c r="F45" i="4"/>
  <c r="I45" i="4" s="1"/>
  <c r="F44" i="4"/>
  <c r="I44" i="4" s="1"/>
  <c r="F43" i="4"/>
  <c r="I43" i="4" s="1"/>
  <c r="F42" i="4"/>
  <c r="I42" i="4" s="1"/>
  <c r="F41" i="4"/>
  <c r="I41" i="4" s="1"/>
  <c r="F40" i="4"/>
  <c r="I40" i="4" s="1"/>
  <c r="F39" i="4"/>
  <c r="I39" i="4" s="1"/>
  <c r="F38" i="4"/>
  <c r="I38" i="4" s="1"/>
  <c r="F37" i="4"/>
  <c r="I37" i="4" s="1"/>
  <c r="F36" i="4"/>
  <c r="I36" i="4" s="1"/>
  <c r="F35" i="4"/>
  <c r="I35" i="4" s="1"/>
  <c r="B49" i="4"/>
  <c r="I47" i="4" l="1"/>
  <c r="F63" i="4"/>
  <c r="I63" i="4" s="1"/>
  <c r="F62" i="4"/>
  <c r="I62" i="4" s="1"/>
  <c r="F61" i="4"/>
  <c r="I61" i="4" s="1"/>
  <c r="F60" i="4"/>
  <c r="I60" i="4" s="1"/>
  <c r="F59" i="4"/>
  <c r="I59" i="4" s="1"/>
  <c r="F58" i="4"/>
  <c r="I58" i="4" s="1"/>
  <c r="F57" i="4"/>
  <c r="I57" i="4" s="1"/>
  <c r="F56" i="4"/>
  <c r="I56" i="4" s="1"/>
  <c r="F55" i="4"/>
  <c r="I55" i="4" s="1"/>
  <c r="F54" i="4"/>
  <c r="I54" i="4" s="1"/>
  <c r="F53" i="4"/>
  <c r="I53" i="4" s="1"/>
  <c r="F52" i="4"/>
  <c r="I52" i="4" s="1"/>
  <c r="I64" i="4" l="1"/>
  <c r="F18" i="6" s="1"/>
  <c r="I18" i="6" s="1"/>
  <c r="F19" i="4" l="1"/>
  <c r="I19" i="4" s="1"/>
  <c r="F20" i="4"/>
  <c r="I20" i="4" s="1"/>
  <c r="F21" i="4"/>
  <c r="I21" i="4" s="1"/>
  <c r="F22" i="4"/>
  <c r="I22" i="4" s="1"/>
  <c r="F23" i="4"/>
  <c r="I23" i="4" s="1"/>
  <c r="F24" i="4"/>
  <c r="I24" i="4" s="1"/>
  <c r="F25" i="4"/>
  <c r="I25" i="4" s="1"/>
  <c r="F26" i="4"/>
  <c r="I26" i="4" s="1"/>
  <c r="F27" i="4"/>
  <c r="I27" i="4" s="1"/>
  <c r="F28" i="4"/>
  <c r="I28" i="4" s="1"/>
  <c r="F29" i="4"/>
  <c r="I29" i="4" s="1"/>
  <c r="F18" i="4"/>
  <c r="I18" i="4" s="1"/>
  <c r="I30" i="4" l="1"/>
  <c r="I10" i="4"/>
  <c r="I11" i="4" s="1"/>
  <c r="F13" i="6" s="1"/>
  <c r="A5" i="7" l="1"/>
  <c r="A4" i="7"/>
  <c r="D136" i="4"/>
  <c r="D130" i="4"/>
  <c r="D118" i="4"/>
  <c r="D98" i="4"/>
  <c r="D90" i="4"/>
  <c r="D76" i="4"/>
  <c r="D84" i="4"/>
  <c r="D15" i="4"/>
  <c r="B13" i="4"/>
  <c r="A13" i="4"/>
  <c r="D7" i="4"/>
  <c r="B137" i="4"/>
  <c r="B136" i="4"/>
  <c r="B131" i="4"/>
  <c r="B130" i="4"/>
  <c r="B119" i="4"/>
  <c r="B118" i="4"/>
  <c r="B99" i="4"/>
  <c r="B98" i="4"/>
  <c r="B91" i="4"/>
  <c r="B90" i="4"/>
  <c r="B85" i="4"/>
  <c r="B84" i="4"/>
  <c r="B77" i="4"/>
  <c r="B76" i="4"/>
  <c r="B8" i="4"/>
  <c r="B16" i="4"/>
  <c r="B15" i="4"/>
  <c r="K13" i="6"/>
  <c r="B14" i="7"/>
  <c r="B13" i="7"/>
  <c r="C21" i="7"/>
  <c r="G14" i="7"/>
  <c r="I14" i="7" s="1"/>
  <c r="K14" i="7" s="1"/>
  <c r="M14" i="7" s="1"/>
  <c r="G13" i="7"/>
  <c r="I13" i="7" s="1"/>
  <c r="K13" i="7" s="1"/>
  <c r="M13" i="7" s="1"/>
  <c r="M5" i="7"/>
  <c r="A3" i="7"/>
  <c r="K14" i="6"/>
  <c r="K15" i="6"/>
  <c r="K16" i="6"/>
  <c r="H40" i="6"/>
  <c r="H32" i="6"/>
  <c r="H26" i="6"/>
  <c r="H25" i="6"/>
  <c r="H24" i="6"/>
  <c r="H23" i="6"/>
  <c r="H17" i="6"/>
  <c r="H13" i="6"/>
  <c r="K40" i="6" l="1"/>
  <c r="I40" i="6"/>
  <c r="I13" i="6"/>
  <c r="I41" i="6" l="1"/>
  <c r="D17" i="7" s="1"/>
  <c r="I93" i="4"/>
  <c r="I95" i="4"/>
  <c r="I94" i="4"/>
  <c r="I80" i="4"/>
  <c r="I79" i="4"/>
  <c r="I122" i="4" l="1"/>
  <c r="F29" i="6" s="1"/>
  <c r="I134" i="4"/>
  <c r="F31" i="6" s="1"/>
  <c r="F32" i="6"/>
  <c r="I81" i="4"/>
  <c r="I82" i="4" s="1"/>
  <c r="I96" i="4"/>
  <c r="F87" i="4" s="1"/>
  <c r="H22" i="5"/>
  <c r="H31" i="5" s="1"/>
  <c r="G22" i="5"/>
  <c r="G31" i="5" s="1"/>
  <c r="F22" i="5"/>
  <c r="F31" i="5" s="1"/>
  <c r="E22" i="5"/>
  <c r="E31" i="5" s="1"/>
  <c r="D22" i="5"/>
  <c r="D31" i="5" s="1"/>
  <c r="C22" i="5"/>
  <c r="C31" i="5" s="1"/>
  <c r="H19" i="5"/>
  <c r="H30" i="5" s="1"/>
  <c r="H32" i="5" s="1"/>
  <c r="G19" i="5"/>
  <c r="G30" i="5" s="1"/>
  <c r="G32" i="5" s="1"/>
  <c r="F19" i="5"/>
  <c r="F30" i="5" s="1"/>
  <c r="E19" i="5"/>
  <c r="E30" i="5" s="1"/>
  <c r="D19" i="5"/>
  <c r="D30" i="5" s="1"/>
  <c r="C19" i="5"/>
  <c r="C30" i="5" s="1"/>
  <c r="C32" i="5" s="1"/>
  <c r="I87" i="4" l="1"/>
  <c r="K26" i="6"/>
  <c r="F17" i="6"/>
  <c r="I17" i="6" s="1"/>
  <c r="I19" i="6" s="1"/>
  <c r="D14" i="7" s="1"/>
  <c r="I31" i="6"/>
  <c r="F23" i="6"/>
  <c r="K23" i="6" s="1"/>
  <c r="I29" i="6"/>
  <c r="K32" i="6"/>
  <c r="F25" i="6"/>
  <c r="I25" i="6" s="1"/>
  <c r="D32" i="5"/>
  <c r="E32" i="5"/>
  <c r="F32" i="5"/>
  <c r="I32" i="6" l="1"/>
  <c r="I26" i="6"/>
  <c r="K31" i="6"/>
  <c r="I23" i="6"/>
  <c r="K29" i="6"/>
  <c r="K25" i="6"/>
  <c r="K17" i="6"/>
  <c r="I88" i="4"/>
  <c r="F24" i="6" l="1"/>
  <c r="K24" i="6" s="1"/>
  <c r="B7" i="4"/>
  <c r="I14" i="6" l="1"/>
  <c r="D13" i="7" s="1"/>
  <c r="I24" i="6"/>
  <c r="I33" i="6" l="1"/>
  <c r="D15" i="7" s="1"/>
  <c r="J19" i="7" l="1"/>
  <c r="F19" i="7"/>
  <c r="G19" i="7" s="1"/>
  <c r="L19" i="7"/>
  <c r="H19" i="7"/>
  <c r="D18" i="7"/>
  <c r="K45" i="6"/>
  <c r="I43" i="6"/>
  <c r="E16" i="7" l="1"/>
  <c r="E17" i="7"/>
  <c r="E14" i="7"/>
  <c r="E13" i="7"/>
  <c r="E15" i="7"/>
  <c r="I19" i="7"/>
  <c r="K19" i="7" s="1"/>
  <c r="M19" i="7" s="1"/>
  <c r="E18" i="7" l="1"/>
</calcChain>
</file>

<file path=xl/sharedStrings.xml><?xml version="1.0" encoding="utf-8"?>
<sst xmlns="http://schemas.openxmlformats.org/spreadsheetml/2006/main" count="548" uniqueCount="232">
  <si>
    <r>
      <rPr>
        <b/>
        <sz val="7.5"/>
        <color rgb="FFFFFFFF"/>
        <rFont val="Arial"/>
        <family val="2"/>
      </rPr>
      <t>MEMORIA DE CÁLCULO</t>
    </r>
  </si>
  <si>
    <t>OBRA:</t>
  </si>
  <si>
    <t>LOCAL:</t>
  </si>
  <si>
    <t>1.1</t>
  </si>
  <si>
    <t>SERVIÇOS PRELIMINARES</t>
  </si>
  <si>
    <t>DESCRIÇÃO:</t>
  </si>
  <si>
    <t>CÓDIGO:</t>
  </si>
  <si>
    <t>LOGRADOURO</t>
  </si>
  <si>
    <t>DESCRIÇÃO</t>
  </si>
  <si>
    <t>Area total (m²)</t>
  </si>
  <si>
    <t>OBS:</t>
  </si>
  <si>
    <r>
      <rPr>
        <sz val="8"/>
        <rFont val="Arial MT"/>
        <family val="2"/>
      </rPr>
      <t>PLACA DE OBRA</t>
    </r>
  </si>
  <si>
    <t>TOTAL</t>
  </si>
  <si>
    <t>Compr</t>
  </si>
  <si>
    <t>Altura</t>
  </si>
  <si>
    <t>Volume total (m³)</t>
  </si>
  <si>
    <t>Repet</t>
  </si>
  <si>
    <t>TOTAL DA ARQUIBANCADA x 2 UNIDADES A SEREM CONSTRUÍDAS</t>
  </si>
  <si>
    <t>Vol. Escavação (m³)</t>
  </si>
  <si>
    <t>Vol. Concreto FUNDAÇÃO (m³)</t>
  </si>
  <si>
    <r>
      <rPr>
        <sz val="8"/>
        <rFont val="Arial MT"/>
        <family val="2"/>
      </rPr>
      <t>ESCAVAÇÃO - (VOL. CONCRETO + VOL. LASTRO)</t>
    </r>
  </si>
  <si>
    <t>Peso total (Kg)</t>
  </si>
  <si>
    <t>DEMONSTRATIVO DE BDI
COM DESONERAÇÃO</t>
  </si>
  <si>
    <t>DEMONSTRATIVO DO BDI - COM DESONERAÇÃO - OBRA DE EDIFICAÇÃO</t>
  </si>
  <si>
    <t>BDI (CONFORME ACÓRDÃO Nº 2622/13 e LEI Nº 13.161 DE 31/08/15)</t>
  </si>
  <si>
    <t>DISCRIMINAÇÃO DAS PARCELAS</t>
  </si>
  <si>
    <r>
      <t xml:space="preserve">SIG.
</t>
    </r>
    <r>
      <rPr>
        <b/>
        <vertAlign val="superscript"/>
        <sz val="8"/>
        <color theme="0"/>
        <rFont val="Arial"/>
        <family val="2"/>
      </rPr>
      <t>(1)</t>
    </r>
  </si>
  <si>
    <t>CONSTRUÇÃO DE EDIFÍCIOS</t>
  </si>
  <si>
    <r>
      <t xml:space="preserve">INC.
</t>
    </r>
    <r>
      <rPr>
        <b/>
        <vertAlign val="superscript"/>
        <sz val="8"/>
        <color theme="0"/>
        <rFont val="Arial"/>
        <family val="2"/>
      </rPr>
      <t>(5)</t>
    </r>
  </si>
  <si>
    <r>
      <t xml:space="preserve">ISS </t>
    </r>
    <r>
      <rPr>
        <b/>
        <vertAlign val="superscript"/>
        <sz val="8"/>
        <color theme="0"/>
        <rFont val="Arial"/>
        <family val="2"/>
      </rPr>
      <t>(2)</t>
    </r>
  </si>
  <si>
    <t>DIFERENCIADO</t>
  </si>
  <si>
    <r>
      <t xml:space="preserve">MATERIAL
</t>
    </r>
    <r>
      <rPr>
        <b/>
        <vertAlign val="superscript"/>
        <sz val="8"/>
        <color theme="0"/>
        <rFont val="Arial"/>
        <family val="2"/>
      </rPr>
      <t>(3)</t>
    </r>
  </si>
  <si>
    <r>
      <t xml:space="preserve">SERVIÇO TERCEIRIZADO </t>
    </r>
    <r>
      <rPr>
        <b/>
        <vertAlign val="superscript"/>
        <sz val="8"/>
        <color theme="0"/>
        <rFont val="Arial"/>
        <family val="2"/>
      </rPr>
      <t xml:space="preserve">(4)
 </t>
    </r>
    <r>
      <rPr>
        <b/>
        <sz val="8"/>
        <color theme="0"/>
        <rFont val="Arial"/>
        <family val="2"/>
      </rPr>
      <t>(ISS=5%)</t>
    </r>
  </si>
  <si>
    <t>CUSTO DIRETO</t>
  </si>
  <si>
    <t>CD</t>
  </si>
  <si>
    <t>ADMINISTRAÇÃO CENTRAL</t>
  </si>
  <si>
    <t>AC</t>
  </si>
  <si>
    <t>LUCRO BRUTO</t>
  </si>
  <si>
    <t>L</t>
  </si>
  <si>
    <t>DESPESAS FINANCEIRAS</t>
  </si>
  <si>
    <t>DF</t>
  </si>
  <si>
    <t>SEGUROS, GARANTIAS E RISCO</t>
  </si>
  <si>
    <t>SEGUROS + GARANTIAS</t>
  </si>
  <si>
    <t>S</t>
  </si>
  <si>
    <t>RISCO(*)</t>
  </si>
  <si>
    <t>R</t>
  </si>
  <si>
    <t>TRIBUTOS</t>
  </si>
  <si>
    <t>I</t>
  </si>
  <si>
    <t>PV</t>
  </si>
  <si>
    <t>ISS</t>
  </si>
  <si>
    <r>
      <t>ISS</t>
    </r>
    <r>
      <rPr>
        <vertAlign val="superscript"/>
        <sz val="8"/>
        <rFont val="Arial"/>
        <family val="2"/>
      </rPr>
      <t>(2)</t>
    </r>
  </si>
  <si>
    <t>-</t>
  </si>
  <si>
    <t>PIS</t>
  </si>
  <si>
    <t>COFINS</t>
  </si>
  <si>
    <t>CPRB</t>
  </si>
  <si>
    <t>INSS</t>
  </si>
  <si>
    <t>FÓRMULA DO BDI</t>
  </si>
  <si>
    <t>(1 + (AC + S + G + R)) x (1 + DF) x  (1 + L)</t>
  </si>
  <si>
    <t>(1 - (I + CPRB))</t>
  </si>
  <si>
    <t>BDI (NUMERADOR)</t>
  </si>
  <si>
    <t>BDI (DENOMINADOR)</t>
  </si>
  <si>
    <t>BDI</t>
  </si>
  <si>
    <t>OBSERVAÇÕES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</si>
  <si>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SIGLA.</t>
    </r>
    <r>
      <rPr>
        <vertAlign val="superscript"/>
        <sz val="8"/>
        <rFont val="Arial"/>
        <family val="2"/>
      </rPr>
      <t xml:space="preserve">
(2) </t>
    </r>
    <r>
      <rPr>
        <sz val="8"/>
        <rFont val="Arial"/>
        <family val="2"/>
      </rPr>
      <t xml:space="preserve">QUANTO AO ISS O TCU ORIENTA OBSERVAR A LEGISLAÇÃO DO MUNICÍPIO. NO REFERIDO ACÓRDÃO O TCU PARTIU DA PREMISSA DE INCIDÊNCIA DO ISS EM 50% DO PREÇO DE VENDA, COM PERCENTUAIS DE 2%, 3%, 4% E 5%.
</t>
    </r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 xml:space="preserve">BDI DIFERENCIADO A SER APLICADO EM CASOS DE FORNECIMENTO DE MATERIAIS E EQUIPAMENTOS. EX. ELEVADOR, ESCADAS ROLANTES, EQUIPAMENTOS DE REFRIGERAÇÃO ETC.
</t>
    </r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 xml:space="preserve">BDI DIFERENCIADO A SER APLICADO PARA SERVIÇOS TERCEIRIZADOS.
</t>
    </r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>INCIDÊNCIA.</t>
    </r>
  </si>
  <si>
    <t>Quantidade</t>
  </si>
  <si>
    <t>m3</t>
  </si>
  <si>
    <t>m2</t>
  </si>
  <si>
    <t>Kg</t>
  </si>
  <si>
    <t>2.0</t>
  </si>
  <si>
    <t>2.1</t>
  </si>
  <si>
    <t>2.2</t>
  </si>
  <si>
    <t>Espessura</t>
  </si>
  <si>
    <t>Área total (m²)</t>
  </si>
  <si>
    <t>Comprimento</t>
  </si>
  <si>
    <t>Largura</t>
  </si>
  <si>
    <t xml:space="preserve">TOTAL </t>
  </si>
  <si>
    <t>Sapatas</t>
  </si>
  <si>
    <t>Conforme projeto estrutural</t>
  </si>
  <si>
    <t>Vigas</t>
  </si>
  <si>
    <t>Pilaretes</t>
  </si>
  <si>
    <t>A N E X O   I I</t>
  </si>
  <si>
    <t>PLANILHA ORÇAMENTÁRIA DE CUSTOS</t>
  </si>
  <si>
    <r>
      <t xml:space="preserve">PREFEITURA: </t>
    </r>
    <r>
      <rPr>
        <sz val="11"/>
        <rFont val="Arial"/>
        <family val="2"/>
      </rPr>
      <t>PREFEITURA MUNICIPAL DE BRASILIA DE MINAS /MG</t>
    </r>
  </si>
  <si>
    <t>FORMA DE EXECUÇÃO</t>
  </si>
  <si>
    <t>(    )</t>
  </si>
  <si>
    <t>DIRETA</t>
  </si>
  <si>
    <t>(  x  )</t>
  </si>
  <si>
    <t>INDIRETA</t>
  </si>
  <si>
    <r>
      <t xml:space="preserve">ISS DO MUNICÍPIO: </t>
    </r>
    <r>
      <rPr>
        <sz val="11"/>
        <rFont val="Arial"/>
        <family val="2"/>
      </rPr>
      <t>3 %</t>
    </r>
  </si>
  <si>
    <t xml:space="preserve">PRAZO PRAZO DE EXECUÇÃO: </t>
  </si>
  <si>
    <t xml:space="preserve">BDI: </t>
  </si>
  <si>
    <t>ITEM</t>
  </si>
  <si>
    <t>FONTE</t>
  </si>
  <si>
    <t>CÓDIGO</t>
  </si>
  <si>
    <t>UNIDADE</t>
  </si>
  <si>
    <t>QUANTIDADE</t>
  </si>
  <si>
    <t>PREÇO UNITÁRIO S/ LDI</t>
  </si>
  <si>
    <t>PREÇO UNITÁRIO C/ LDI</t>
  </si>
  <si>
    <t>PREÇO TOTAL</t>
  </si>
  <si>
    <t xml:space="preserve">SERVIÇOS PRELIMINARES </t>
  </si>
  <si>
    <t xml:space="preserve">SUB -TOTAL DO ITEM 1 </t>
  </si>
  <si>
    <t>SUB -TOTAL DO ITEM 2</t>
  </si>
  <si>
    <t>VALOR TOTAL DA OBRA:</t>
  </si>
  <si>
    <t xml:space="preserve">________________________________________________________ </t>
  </si>
  <si>
    <t>_____________________________________________________</t>
  </si>
  <si>
    <t>Marcelo Braga Padiglione</t>
  </si>
  <si>
    <t xml:space="preserve">Prefeito Municipal                                                </t>
  </si>
  <si>
    <t xml:space="preserve"> CREA/MG 146.219/D</t>
  </si>
  <si>
    <t>Marcus Vinicíus Ferreira Carvalho</t>
  </si>
  <si>
    <t xml:space="preserve">FORMA DE EXECUÇÃO: </t>
  </si>
  <si>
    <t xml:space="preserve"> </t>
  </si>
  <si>
    <t>( X )</t>
  </si>
  <si>
    <t>PRAZO DE EXECUÇÃO: 4 Mêses</t>
  </si>
  <si>
    <t>LDI</t>
  </si>
  <si>
    <t>CRONOGRAMA   FÍSICO - FINANCEIRO</t>
  </si>
  <si>
    <t xml:space="preserve">DISCRIMINAÇÃO DE SERVIÇOS  </t>
  </si>
  <si>
    <t>VALOR DOS  SERVIÇOS</t>
  </si>
  <si>
    <t>PESO %</t>
  </si>
  <si>
    <t>SERVIÇOS A EXECUTAR</t>
  </si>
  <si>
    <t>MÊS 01</t>
  </si>
  <si>
    <t>MÊS 02</t>
  </si>
  <si>
    <t>MÊS 03</t>
  </si>
  <si>
    <t>MÊS 04</t>
  </si>
  <si>
    <t>SIMPL.%</t>
  </si>
  <si>
    <t>ACUM. %</t>
  </si>
  <si>
    <t>TÉRREO</t>
  </si>
  <si>
    <t>Total em percentual</t>
  </si>
  <si>
    <t>Total em real</t>
  </si>
  <si>
    <t>_____________________________________
Marcelo Braga Padiglione                                                        Engenheiro Civil 
CREA 146.219/D</t>
  </si>
  <si>
    <r>
      <t xml:space="preserve">___________________________
</t>
    </r>
    <r>
      <rPr>
        <sz val="10"/>
        <rFont val="Arial Narrow"/>
        <family val="2"/>
      </rPr>
      <t xml:space="preserve">Marcelo Braga Padiglione                                                        Engenheiro Civil 
</t>
    </r>
    <r>
      <rPr>
        <sz val="8"/>
        <rFont val="Arial Narrow"/>
        <family val="2"/>
      </rPr>
      <t>CREA 146.219/D</t>
    </r>
  </si>
  <si>
    <t>FORNECIMENTO E INSTALAÇÃO DE PLACA DE OBRA COM CHAPA GALVANIZADA E ESTRUTURA DE MADEIRA. AF_03/2022_PS</t>
  </si>
  <si>
    <t>SINAPI</t>
  </si>
  <si>
    <t>TERRAPLANAGEM</t>
  </si>
  <si>
    <t>CORTE DO TERRENO</t>
  </si>
  <si>
    <t>TRECHO 1-2</t>
  </si>
  <si>
    <t>TRECHO 2-3</t>
  </si>
  <si>
    <t>TRECHO 3-4</t>
  </si>
  <si>
    <t>TRECHO 4-5</t>
  </si>
  <si>
    <t>TRECHO 5-6</t>
  </si>
  <si>
    <t>TRECHO 6-7</t>
  </si>
  <si>
    <t>TRECHO 7-8</t>
  </si>
  <si>
    <t>TRECHO 8-9</t>
  </si>
  <si>
    <t>TRECHO 9-10</t>
  </si>
  <si>
    <t>TRECHO 10-11</t>
  </si>
  <si>
    <t>TRECHO 11-12</t>
  </si>
  <si>
    <t>TRECHO 12-13</t>
  </si>
  <si>
    <t>ÁREA 1</t>
  </si>
  <si>
    <t>ÁREA 2</t>
  </si>
  <si>
    <t>MÉDIA</t>
  </si>
  <si>
    <t>EMPOLAMENTO</t>
  </si>
  <si>
    <t>TOTAL DO CORTE DE TERRA</t>
  </si>
  <si>
    <t>ATERRO DO TERRENO (TALUDE)</t>
  </si>
  <si>
    <t>TOTAL DO ATERRO</t>
  </si>
  <si>
    <t>TOTAL DO ATERRO DO TALUDE</t>
  </si>
  <si>
    <t>SAPATAS DO ALAMBRADO</t>
  </si>
  <si>
    <t>VIGA DO ALAMBRADO</t>
  </si>
  <si>
    <t>FUNDAÇÃO</t>
  </si>
  <si>
    <t>3.0</t>
  </si>
  <si>
    <t>3.1</t>
  </si>
  <si>
    <t>3.2</t>
  </si>
  <si>
    <t>3.3</t>
  </si>
  <si>
    <t>3.4</t>
  </si>
  <si>
    <t>3.5</t>
  </si>
  <si>
    <t>3.6</t>
  </si>
  <si>
    <t>3.7</t>
  </si>
  <si>
    <t>3.8</t>
  </si>
  <si>
    <t>ALAMBRADO</t>
  </si>
  <si>
    <t>FUNDOS</t>
  </si>
  <si>
    <t>DIVISÃO</t>
  </si>
  <si>
    <t>LATERAIS DIAGONAL</t>
  </si>
  <si>
    <t>TOTAL DO ALAMBRADO</t>
  </si>
  <si>
    <t>ALAMBRADO PARA QUADRA POLIESPORTIVA, ESTRUTURADO POR TUBOS DE ACO GALVANIZADO, (MONTANTES COM DIAMETRO 2", TRAVESSAS E ESCORAS COM DIÂMETRO 1 ¼"), COM TELA DE ARAME GALVANIZADO, FIO 10 BWG E MALHA QUADRADA 5X5CM (EXCETO MURETA). AF_03/2021</t>
  </si>
  <si>
    <t>SERRALHERIA</t>
  </si>
  <si>
    <t>4.0</t>
  </si>
  <si>
    <t>4.1</t>
  </si>
  <si>
    <t>SIANPI</t>
  </si>
  <si>
    <t>EXECUÇÃO E COMPACTAÇÃO DE CORPO DE ATERRO (95% DE ENERGIA DO PROCTOR NORMAL) COM SOLO PREDOMINANTEMENTE ARENOSO, EM CAMADAS COM ESPESSURA DE 20 CM - EXCLUSIVE ESCAVAÇÃO, CARGA E TRANSPORTE E SOLO. AF_09/2024</t>
  </si>
  <si>
    <t>ATERRO DO TERRENO</t>
  </si>
  <si>
    <t>Áreas conforme projeto</t>
  </si>
  <si>
    <t>ESCAVAÇÃO HORIZONTAL, INCLUINDO ESCARIFICAÇÃO, CARGA, DESCARGA E TRANSPORTE EM SOLO DE 2A CATEGORIA COM TRATOR DE ESTEIRAS (347HP/LÂMINA: 8,70M3) E CAMINHÃO BASCULANTE DE 10M3, DMT ATÉ 200M. AF_07/2020</t>
  </si>
  <si>
    <t>LATERAIS 2m</t>
  </si>
  <si>
    <t>LATERAIS 4m</t>
  </si>
  <si>
    <t>SAPATAS</t>
  </si>
  <si>
    <t>PESCOÇO DE PILAR</t>
  </si>
  <si>
    <t>VIGA DO ALAMBRADO (FUNDOS)</t>
  </si>
  <si>
    <t>VIGA DO ALAMBRADO (LATERAIS)</t>
  </si>
  <si>
    <t>TOTAL DO LASTRO DE CONCRETO MAGRO</t>
  </si>
  <si>
    <t>TOTAL DO APILOAMENTO</t>
  </si>
  <si>
    <t>TOTAL DA ESCAVAÇÃO</t>
  </si>
  <si>
    <t>PINTURA</t>
  </si>
  <si>
    <t>PINTURA COM TINTA ALQUÍDICA DE ACABAMENTO (ESMALTE SINTÉTICO BRILHANTE) PULVERIZADA SOBRE SUPERFÍCIES METÁLICAS (EXCETO PERFIL) EXECUTADO EM OBRA (POR DEMÃO). AF_01/2020_PE</t>
  </si>
  <si>
    <t>5.0</t>
  </si>
  <si>
    <t>5.1</t>
  </si>
  <si>
    <t>TUBO GALVANIZADO FUNDOS</t>
  </si>
  <si>
    <t>TUBO 2"</t>
  </si>
  <si>
    <t>TUBO GALVANIZADO LATERAIS</t>
  </si>
  <si>
    <t>Perímetro
(m)</t>
  </si>
  <si>
    <t>Compr.
(m)</t>
  </si>
  <si>
    <t>TUBO 2" INCLINADO</t>
  </si>
  <si>
    <r>
      <t xml:space="preserve">OBRA: </t>
    </r>
    <r>
      <rPr>
        <sz val="11"/>
        <rFont val="Arial"/>
        <family val="2"/>
      </rPr>
      <t>CONSTRUÇÃO DE CAMPO DE FUTEBOL DE FERNÃO DIAS</t>
    </r>
  </si>
  <si>
    <r>
      <t xml:space="preserve">LOCAL:  </t>
    </r>
    <r>
      <rPr>
        <sz val="11"/>
        <rFont val="Arial"/>
        <family val="2"/>
      </rPr>
      <t>FERNÃO DIAS - BRASILIA DE MINAS/MG</t>
    </r>
  </si>
  <si>
    <t>1.0</t>
  </si>
  <si>
    <t>CONSTRUÇÃO DE CAMPO DE FUTEBOL DE FERNÃO DIAS</t>
  </si>
  <si>
    <t>FERNÃO DIAS - BRASILIA DE MINAS/MG</t>
  </si>
  <si>
    <t>ARMAÇÃO DE SAPATA ISOLADA, VIGA BALDRAME E SAPATA CORRIDA UTILIZANDO AÇO CA-60 DE 5 MM - MONTAGEM. AF_01/2024</t>
  </si>
  <si>
    <t>ARMAÇÃO DE SAPATA ISOLADA, VIGA BALDRAME E SAPATA CORRIDA UTILIZANDO AÇO CA-50 DE 8 MM - MONTAGEM. AF_01/2024</t>
  </si>
  <si>
    <t>ARMAÇÃO DE SAPATA ISOLADA, VIGA BALDRAME E SAPATA CORRIDA UTILIZANDO AÇO CA-50 DE 6,3 MM - MONTAGEM. AF_01/2024</t>
  </si>
  <si>
    <t>ARMAÇÃO DE SAPATA ISOLADA, VIGA BALDRAME E SAPATA CORRIDA UTILIZANDO AÇO CA-50 DE 10 MM - MONTAGEM. AF_01/2024</t>
  </si>
  <si>
    <t>ESCAVAÇÃO MANUAL PARA BLOCO DE COROAMENTO OU SAPATA (SEM ESCAVAÇÃO PARA COLOCAÇÃO DE FÔRMAS). AF_01/2024</t>
  </si>
  <si>
    <t>PREPARO DE FUNDO DE VALA COM LARGURA MENOR QUE 1,5 M (ACERTO DO SOLO NATURAL). AF_08/2020</t>
  </si>
  <si>
    <t>REATERRO MANUAL DE VALAS, COM PLACA VIBRATÓRIA. AF_08/2023</t>
  </si>
  <si>
    <t>LASTRO DE CONCRETO MAGRO, APLICADO EM BLOCOS DE COROAMENTO OU SAPATAS, ESPESSURA DE 5 CM. AF_01/2024</t>
  </si>
  <si>
    <t>CONCRETAGEM DE SAPATA, FCK 30 MPA, COM USO DE JERICA - LANÇAMENTO, ADENSAMENTO E ACABAMENTO. AF_01/2024</t>
  </si>
  <si>
    <t>3.9</t>
  </si>
  <si>
    <t>3.10</t>
  </si>
  <si>
    <t>3.11</t>
  </si>
  <si>
    <t>CONCRETAGEM DE BLOCO DE COROAMENTO OU VIGA BALDRAME, FCK 30 MPA, COM USO DE JERICA - LANÇAMENTO, ADENSAMENTO E ACABAMENTO. AF_01/2024</t>
  </si>
  <si>
    <t>MONTAGEM E DESMONTAGEM DE FÔRMA DE PILARES RETANGULARES E ESTRUTURAS SIMILARES, PÉ-DIREITO SIMPLES, EM CHAPA DE MADEIRA COMPENSADA RESINADA, 8 UTILIZAÇÕES. AF_09/2020</t>
  </si>
  <si>
    <t xml:space="preserve">SAPATAS 0,50x0,50m </t>
  </si>
  <si>
    <t>VIGA BALDRAME</t>
  </si>
  <si>
    <t xml:space="preserve">VIGA BALDRAME
</t>
  </si>
  <si>
    <t>Peso (Kg/m)</t>
  </si>
  <si>
    <t>Vol. Concreto LASTRO (m³)</t>
  </si>
  <si>
    <t>Comprimento (m)</t>
  </si>
  <si>
    <t>ESTEIRA</t>
  </si>
  <si>
    <t>ESTRIBO</t>
  </si>
  <si>
    <t>BALDRAME</t>
  </si>
  <si>
    <t xml:space="preserve">VIGA BALDRAMES </t>
  </si>
  <si>
    <t>SAPATAS 0,50x0,50m</t>
  </si>
  <si>
    <t xml:space="preserve">VIGA BALDRAMES
</t>
  </si>
  <si>
    <t>DATA: 05/09/2025</t>
  </si>
  <si>
    <r>
      <t xml:space="preserve">REFERÊNCIA: </t>
    </r>
    <r>
      <rPr>
        <sz val="11"/>
        <rFont val="Arial"/>
        <family val="2"/>
      </rPr>
      <t>SINAPI 06/2025 - DESONERADO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</si>
</sst>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&quot;R$&quot;\ #,##0.00"/>
    <numFmt numFmtId="166" formatCode="&quot;R$ &quot;#,##0.00"/>
    <numFmt numFmtId="167" formatCode="&quot;R$&quot;#,##0.00"/>
    <numFmt numFmtId="168" formatCode="&quot;R$&quot;#,##0.00_);\(&quot;R$&quot;#,##0.00\)"/>
    <numFmt numFmtId="169" formatCode="0.000"/>
  </numFmts>
  <fonts count="38">
    <font>
      <sz val="10"/>
      <color rgb="FF000000"/>
      <name val="Times New Roman"/>
      <charset val="204"/>
    </font>
    <font>
      <sz val="8"/>
      <name val="Arial MT"/>
    </font>
    <font>
      <b/>
      <sz val="8"/>
      <name val="Arial"/>
      <family val="2"/>
    </font>
    <font>
      <sz val="8"/>
      <name val="Arial MT"/>
      <family val="2"/>
    </font>
    <font>
      <b/>
      <sz val="7.5"/>
      <name val="Arial"/>
      <family val="2"/>
    </font>
    <font>
      <b/>
      <sz val="7.5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color rgb="FF000000"/>
      <name val="Arial MT"/>
      <family val="2"/>
    </font>
    <font>
      <sz val="10"/>
      <color rgb="FF000000"/>
      <name val="Times New Roman"/>
      <family val="1"/>
    </font>
    <font>
      <b/>
      <sz val="20"/>
      <name val="Arial"/>
      <family val="2"/>
    </font>
    <font>
      <sz val="10"/>
      <name val="Arial"/>
      <family val="2"/>
    </font>
    <font>
      <sz val="12"/>
      <name val="Arial Black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10000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4"/>
      <name val="Arial Narrow"/>
      <family val="2"/>
    </font>
    <font>
      <sz val="12"/>
      <name val="Arial"/>
      <family val="2"/>
    </font>
    <font>
      <sz val="16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2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6FC0"/>
      </patternFill>
    </fill>
    <fill>
      <patternFill patternType="solid">
        <fgColor rgb="FF938953"/>
      </patternFill>
    </fill>
    <fill>
      <patternFill patternType="solid">
        <fgColor rgb="FFC4BB95"/>
      </patternFill>
    </fill>
    <fill>
      <patternFill patternType="solid">
        <fgColor rgb="FFC4BC96"/>
      </patternFill>
    </fill>
    <fill>
      <patternFill patternType="solid">
        <fgColor rgb="FF92D050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gray0625">
        <bgColor theme="0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auto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10000"/>
      </top>
      <bottom style="thin">
        <color rgb="FF01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9">
    <xf numFmtId="0" fontId="0" fillId="0" borderId="0"/>
    <xf numFmtId="9" fontId="9" fillId="0" borderId="0" applyFont="0" applyFill="0" applyBorder="0" applyAlignment="0" applyProtection="0"/>
    <xf numFmtId="0" fontId="11" fillId="0" borderId="0"/>
    <xf numFmtId="9" fontId="1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/>
    <xf numFmtId="0" fontId="11" fillId="0" borderId="0"/>
    <xf numFmtId="0" fontId="25" fillId="0" borderId="0"/>
  </cellStyleXfs>
  <cellXfs count="334">
    <xf numFmtId="0" fontId="0" fillId="0" borderId="0" xfId="0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right" vertical="top" wrapText="1" indent="3"/>
    </xf>
    <xf numFmtId="0" fontId="2" fillId="4" borderId="5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wrapText="1"/>
    </xf>
    <xf numFmtId="0" fontId="7" fillId="5" borderId="5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wrapText="1"/>
    </xf>
    <xf numFmtId="2" fontId="8" fillId="0" borderId="5" xfId="0" applyNumberFormat="1" applyFont="1" applyBorder="1" applyAlignment="1">
      <alignment horizontal="center" vertical="top" shrinkToFit="1"/>
    </xf>
    <xf numFmtId="2" fontId="6" fillId="6" borderId="5" xfId="0" applyNumberFormat="1" applyFont="1" applyFill="1" applyBorder="1" applyAlignment="1">
      <alignment horizontal="center" vertical="top" shrinkToFit="1"/>
    </xf>
    <xf numFmtId="0" fontId="7" fillId="0" borderId="5" xfId="0" applyFont="1" applyBorder="1" applyAlignment="1">
      <alignment horizontal="left" vertical="center" wrapText="1"/>
    </xf>
    <xf numFmtId="2" fontId="8" fillId="0" borderId="5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 indent="1"/>
    </xf>
    <xf numFmtId="0" fontId="0" fillId="0" borderId="0" xfId="0"/>
    <xf numFmtId="0" fontId="13" fillId="8" borderId="17" xfId="2" applyFont="1" applyFill="1" applyBorder="1" applyAlignment="1">
      <alignment horizontal="center" vertical="center" wrapText="1"/>
    </xf>
    <xf numFmtId="9" fontId="13" fillId="8" borderId="17" xfId="2" applyNumberFormat="1" applyFont="1" applyFill="1" applyBorder="1" applyAlignment="1">
      <alignment horizontal="center" vertical="center" wrapText="1"/>
    </xf>
    <xf numFmtId="10" fontId="15" fillId="0" borderId="17" xfId="2" applyNumberFormat="1" applyFont="1" applyBorder="1" applyAlignment="1">
      <alignment horizontal="left" vertical="center" wrapText="1"/>
    </xf>
    <xf numFmtId="10" fontId="2" fillId="0" borderId="15" xfId="2" applyNumberFormat="1" applyFont="1" applyBorder="1" applyAlignment="1">
      <alignment horizontal="center" vertical="center"/>
    </xf>
    <xf numFmtId="9" fontId="15" fillId="0" borderId="17" xfId="3" applyFont="1" applyBorder="1" applyAlignment="1">
      <alignment horizontal="center" vertical="center"/>
    </xf>
    <xf numFmtId="164" fontId="15" fillId="0" borderId="17" xfId="3" applyNumberFormat="1" applyFont="1" applyBorder="1" applyAlignment="1">
      <alignment horizontal="center" vertical="center"/>
    </xf>
    <xf numFmtId="10" fontId="15" fillId="0" borderId="17" xfId="3" applyNumberFormat="1" applyFont="1" applyBorder="1" applyAlignment="1">
      <alignment horizontal="center" vertical="center"/>
    </xf>
    <xf numFmtId="10" fontId="15" fillId="0" borderId="17" xfId="2" applyNumberFormat="1" applyFont="1" applyBorder="1" applyAlignment="1">
      <alignment horizontal="center" vertical="center"/>
    </xf>
    <xf numFmtId="10" fontId="15" fillId="0" borderId="15" xfId="2" applyNumberFormat="1" applyFont="1" applyBorder="1" applyAlignment="1">
      <alignment horizontal="center" vertical="center"/>
    </xf>
    <xf numFmtId="10" fontId="2" fillId="0" borderId="17" xfId="3" applyNumberFormat="1" applyFont="1" applyBorder="1" applyAlignment="1">
      <alignment horizontal="center" vertical="center"/>
    </xf>
    <xf numFmtId="164" fontId="2" fillId="0" borderId="17" xfId="3" applyNumberFormat="1" applyFont="1" applyBorder="1" applyAlignment="1">
      <alignment horizontal="center" vertical="center"/>
    </xf>
    <xf numFmtId="10" fontId="15" fillId="9" borderId="17" xfId="3" applyNumberFormat="1" applyFont="1" applyFill="1" applyBorder="1" applyAlignment="1">
      <alignment horizontal="center" vertical="center"/>
    </xf>
    <xf numFmtId="10" fontId="15" fillId="0" borderId="17" xfId="1" applyNumberFormat="1" applyFont="1" applyBorder="1" applyAlignment="1">
      <alignment horizontal="center" vertical="center"/>
    </xf>
    <xf numFmtId="10" fontId="18" fillId="0" borderId="17" xfId="3" applyNumberFormat="1" applyFont="1" applyBorder="1" applyAlignment="1">
      <alignment horizontal="center" vertical="center"/>
    </xf>
    <xf numFmtId="1" fontId="7" fillId="5" borderId="5" xfId="0" applyNumberFormat="1" applyFont="1" applyFill="1" applyBorder="1" applyAlignment="1">
      <alignment horizontal="left" wrapText="1"/>
    </xf>
    <xf numFmtId="1" fontId="7" fillId="5" borderId="5" xfId="0" applyNumberFormat="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/>
    </xf>
    <xf numFmtId="3" fontId="21" fillId="0" borderId="13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0" fontId="22" fillId="0" borderId="13" xfId="1" applyNumberFormat="1" applyFont="1" applyFill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center" vertical="center" wrapText="1"/>
    </xf>
    <xf numFmtId="3" fontId="21" fillId="0" borderId="13" xfId="0" applyNumberFormat="1" applyFont="1" applyBorder="1" applyAlignment="1">
      <alignment horizontal="center" vertical="center" wrapText="1"/>
    </xf>
    <xf numFmtId="0" fontId="21" fillId="11" borderId="13" xfId="0" applyFont="1" applyFill="1" applyBorder="1" applyAlignment="1">
      <alignment horizontal="center" vertical="center" wrapText="1"/>
    </xf>
    <xf numFmtId="49" fontId="21" fillId="11" borderId="13" xfId="0" applyNumberFormat="1" applyFont="1" applyFill="1" applyBorder="1" applyAlignment="1">
      <alignment horizontal="center" vertical="center" wrapText="1"/>
    </xf>
    <xf numFmtId="0" fontId="21" fillId="11" borderId="13" xfId="0" applyFont="1" applyFill="1" applyBorder="1" applyAlignment="1">
      <alignment vertical="center" wrapText="1"/>
    </xf>
    <xf numFmtId="3" fontId="21" fillId="11" borderId="13" xfId="0" applyNumberFormat="1" applyFont="1" applyFill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3" xfId="7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165" fontId="22" fillId="0" borderId="13" xfId="4" applyNumberFormat="1" applyFont="1" applyFill="1" applyBorder="1" applyAlignment="1">
      <alignment horizontal="center" vertical="center" wrapText="1"/>
    </xf>
    <xf numFmtId="165" fontId="22" fillId="0" borderId="13" xfId="0" applyNumberFormat="1" applyFont="1" applyBorder="1" applyAlignment="1">
      <alignment horizontal="center" vertical="center" wrapText="1"/>
    </xf>
    <xf numFmtId="2" fontId="22" fillId="0" borderId="13" xfId="0" applyNumberFormat="1" applyFont="1" applyBorder="1" applyAlignment="1">
      <alignment horizontal="center" vertical="center"/>
    </xf>
    <xf numFmtId="165" fontId="22" fillId="12" borderId="13" xfId="0" applyNumberFormat="1" applyFont="1" applyFill="1" applyBorder="1" applyAlignment="1">
      <alignment horizontal="center" vertical="center" wrapText="1"/>
    </xf>
    <xf numFmtId="165" fontId="21" fillId="11" borderId="13" xfId="0" applyNumberFormat="1" applyFont="1" applyFill="1" applyBorder="1" applyAlignment="1">
      <alignment horizontal="center" vertical="center" wrapText="1"/>
    </xf>
    <xf numFmtId="49" fontId="22" fillId="11" borderId="13" xfId="0" applyNumberFormat="1" applyFont="1" applyFill="1" applyBorder="1" applyAlignment="1">
      <alignment horizontal="center" vertical="center" wrapText="1"/>
    </xf>
    <xf numFmtId="0" fontId="21" fillId="11" borderId="13" xfId="0" applyFont="1" applyFill="1" applyBorder="1" applyAlignment="1">
      <alignment horizontal="left" vertical="center" wrapText="1"/>
    </xf>
    <xf numFmtId="2" fontId="22" fillId="11" borderId="13" xfId="4" applyNumberFormat="1" applyFont="1" applyFill="1" applyBorder="1" applyAlignment="1">
      <alignment horizontal="center" vertical="center" wrapText="1"/>
    </xf>
    <xf numFmtId="4" fontId="22" fillId="11" borderId="13" xfId="0" applyNumberFormat="1" applyFont="1" applyFill="1" applyBorder="1" applyAlignment="1">
      <alignment horizontal="center" vertical="center" wrapText="1"/>
    </xf>
    <xf numFmtId="3" fontId="22" fillId="11" borderId="13" xfId="0" applyNumberFormat="1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left" vertical="top" wrapText="1"/>
    </xf>
    <xf numFmtId="0" fontId="22" fillId="0" borderId="4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3" fontId="22" fillId="0" borderId="41" xfId="0" applyNumberFormat="1" applyFont="1" applyBorder="1" applyAlignment="1">
      <alignment vertical="center" wrapText="1"/>
    </xf>
    <xf numFmtId="0" fontId="22" fillId="0" borderId="3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2" fontId="26" fillId="11" borderId="39" xfId="8" applyNumberFormat="1" applyFont="1" applyFill="1" applyBorder="1" applyAlignment="1">
      <alignment horizontal="center" textRotation="255"/>
    </xf>
    <xf numFmtId="2" fontId="27" fillId="11" borderId="39" xfId="8" applyNumberFormat="1" applyFont="1" applyFill="1" applyBorder="1" applyAlignment="1">
      <alignment horizontal="center" vertical="center" wrapText="1"/>
    </xf>
    <xf numFmtId="2" fontId="27" fillId="11" borderId="38" xfId="8" applyNumberFormat="1" applyFont="1" applyFill="1" applyBorder="1" applyAlignment="1">
      <alignment horizontal="center" vertical="center"/>
    </xf>
    <xf numFmtId="2" fontId="27" fillId="11" borderId="32" xfId="8" applyNumberFormat="1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33" fillId="0" borderId="33" xfId="0" applyFont="1" applyBorder="1"/>
    <xf numFmtId="0" fontId="33" fillId="0" borderId="34" xfId="0" applyFont="1" applyBorder="1"/>
    <xf numFmtId="0" fontId="32" fillId="0" borderId="34" xfId="0" applyFont="1" applyBorder="1" applyAlignment="1">
      <alignment wrapText="1"/>
    </xf>
    <xf numFmtId="0" fontId="32" fillId="0" borderId="34" xfId="0" applyFont="1" applyBorder="1"/>
    <xf numFmtId="0" fontId="29" fillId="0" borderId="34" xfId="0" applyFont="1" applyBorder="1"/>
    <xf numFmtId="44" fontId="29" fillId="0" borderId="35" xfId="0" applyNumberFormat="1" applyFont="1" applyBorder="1"/>
    <xf numFmtId="0" fontId="33" fillId="0" borderId="40" xfId="0" applyFont="1" applyBorder="1"/>
    <xf numFmtId="0" fontId="33" fillId="0" borderId="0" xfId="0" applyFont="1"/>
    <xf numFmtId="0" fontId="0" fillId="0" borderId="41" xfId="0" applyBorder="1"/>
    <xf numFmtId="0" fontId="33" fillId="0" borderId="36" xfId="0" applyFont="1" applyBorder="1"/>
    <xf numFmtId="0" fontId="33" fillId="0" borderId="37" xfId="0" applyFont="1" applyBorder="1"/>
    <xf numFmtId="0" fontId="33" fillId="0" borderId="38" xfId="0" applyFont="1" applyBorder="1"/>
    <xf numFmtId="2" fontId="8" fillId="0" borderId="13" xfId="0" applyNumberFormat="1" applyFont="1" applyBorder="1" applyAlignment="1">
      <alignment horizontal="center" vertical="center" shrinkToFit="1"/>
    </xf>
    <xf numFmtId="2" fontId="22" fillId="12" borderId="13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wrapText="1"/>
    </xf>
    <xf numFmtId="0" fontId="0" fillId="0" borderId="36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24" fillId="0" borderId="13" xfId="0" applyFont="1" applyBorder="1" applyAlignment="1">
      <alignment horizontal="center" vertical="center"/>
    </xf>
    <xf numFmtId="14" fontId="24" fillId="0" borderId="13" xfId="0" applyNumberFormat="1" applyFont="1" applyBorder="1" applyAlignment="1">
      <alignment horizontal="left" vertical="center"/>
    </xf>
    <xf numFmtId="10" fontId="24" fillId="0" borderId="13" xfId="1" applyNumberFormat="1" applyFont="1" applyFill="1" applyBorder="1" applyAlignment="1">
      <alignment horizontal="center" vertical="center"/>
    </xf>
    <xf numFmtId="2" fontId="27" fillId="11" borderId="13" xfId="8" applyNumberFormat="1" applyFont="1" applyFill="1" applyBorder="1" applyAlignment="1">
      <alignment horizontal="center"/>
    </xf>
    <xf numFmtId="0" fontId="0" fillId="11" borderId="13" xfId="0" applyFill="1" applyBorder="1"/>
    <xf numFmtId="2" fontId="27" fillId="11" borderId="13" xfId="8" applyNumberFormat="1" applyFont="1" applyFill="1" applyBorder="1"/>
    <xf numFmtId="2" fontId="27" fillId="0" borderId="13" xfId="8" applyNumberFormat="1" applyFon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40" xfId="0" applyBorder="1"/>
    <xf numFmtId="44" fontId="0" fillId="0" borderId="0" xfId="0" applyNumberFormat="1" applyAlignment="1">
      <alignment horizontal="left" vertical="top"/>
    </xf>
    <xf numFmtId="2" fontId="8" fillId="0" borderId="10" xfId="0" applyNumberFormat="1" applyFont="1" applyBorder="1" applyAlignment="1">
      <alignment horizontal="center" vertical="top" shrinkToFit="1"/>
    </xf>
    <xf numFmtId="2" fontId="8" fillId="0" borderId="13" xfId="0" applyNumberFormat="1" applyFont="1" applyBorder="1" applyAlignment="1">
      <alignment horizontal="center" vertical="top" shrinkToFit="1"/>
    </xf>
    <xf numFmtId="0" fontId="7" fillId="0" borderId="13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2" fontId="8" fillId="0" borderId="12" xfId="0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top" wrapText="1"/>
    </xf>
    <xf numFmtId="0" fontId="2" fillId="4" borderId="5" xfId="0" applyFont="1" applyFill="1" applyBorder="1" applyAlignment="1">
      <alignment vertical="center" wrapText="1"/>
    </xf>
    <xf numFmtId="2" fontId="8" fillId="0" borderId="0" xfId="0" applyNumberFormat="1" applyFont="1" applyBorder="1" applyAlignment="1">
      <alignment horizontal="center" vertical="top" shrinkToFit="1"/>
    </xf>
    <xf numFmtId="0" fontId="37" fillId="0" borderId="0" xfId="0" applyFont="1" applyAlignment="1">
      <alignment wrapText="1"/>
    </xf>
    <xf numFmtId="169" fontId="8" fillId="0" borderId="5" xfId="0" applyNumberFormat="1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/>
    </xf>
    <xf numFmtId="166" fontId="30" fillId="0" borderId="39" xfId="0" applyNumberFormat="1" applyFont="1" applyBorder="1" applyAlignment="1">
      <alignment horizontal="left" vertical="center"/>
    </xf>
    <xf numFmtId="10" fontId="30" fillId="0" borderId="30" xfId="8" applyNumberFormat="1" applyFont="1" applyBorder="1" applyAlignment="1">
      <alignment horizontal="center" vertical="center"/>
    </xf>
    <xf numFmtId="9" fontId="30" fillId="0" borderId="13" xfId="1" applyFont="1" applyBorder="1" applyAlignment="1" applyProtection="1">
      <alignment horizontal="center" vertical="center"/>
      <protection locked="0"/>
    </xf>
    <xf numFmtId="9" fontId="30" fillId="14" borderId="13" xfId="1" applyFont="1" applyFill="1" applyBorder="1" applyAlignment="1" applyProtection="1">
      <alignment horizontal="center" vertical="center"/>
    </xf>
    <xf numFmtId="9" fontId="30" fillId="0" borderId="32" xfId="1" applyFont="1" applyBorder="1" applyAlignment="1" applyProtection="1">
      <alignment horizontal="center" vertical="center"/>
      <protection locked="0"/>
    </xf>
    <xf numFmtId="9" fontId="30" fillId="14" borderId="32" xfId="1" applyFont="1" applyFill="1" applyBorder="1" applyAlignment="1" applyProtection="1">
      <alignment horizontal="center" vertical="center"/>
    </xf>
    <xf numFmtId="167" fontId="30" fillId="15" borderId="42" xfId="8" applyNumberFormat="1" applyFont="1" applyFill="1" applyBorder="1" applyAlignment="1">
      <alignment horizontal="left" vertical="center"/>
    </xf>
    <xf numFmtId="10" fontId="30" fillId="12" borderId="45" xfId="8" applyNumberFormat="1" applyFont="1" applyFill="1" applyBorder="1" applyAlignment="1">
      <alignment horizontal="center" vertical="center"/>
    </xf>
    <xf numFmtId="10" fontId="30" fillId="16" borderId="45" xfId="8" applyNumberFormat="1" applyFont="1" applyFill="1" applyBorder="1" applyAlignment="1">
      <alignment horizontal="center" vertical="center"/>
    </xf>
    <xf numFmtId="168" fontId="30" fillId="0" borderId="49" xfId="8" applyNumberFormat="1" applyFont="1" applyBorder="1" applyAlignment="1">
      <alignment horizontal="center" vertical="center"/>
    </xf>
    <xf numFmtId="2" fontId="30" fillId="16" borderId="49" xfId="8" applyNumberFormat="1" applyFont="1" applyFill="1" applyBorder="1" applyAlignment="1">
      <alignment horizontal="center" vertical="center"/>
    </xf>
    <xf numFmtId="44" fontId="30" fillId="12" borderId="49" xfId="5" applyFont="1" applyFill="1" applyBorder="1" applyAlignment="1">
      <alignment horizontal="center" vertical="center"/>
    </xf>
    <xf numFmtId="44" fontId="30" fillId="16" borderId="49" xfId="5" applyFont="1" applyFill="1" applyBorder="1" applyAlignment="1" applyProtection="1">
      <alignment horizontal="center" vertical="center"/>
    </xf>
    <xf numFmtId="44" fontId="36" fillId="16" borderId="49" xfId="5" applyFont="1" applyFill="1" applyBorder="1" applyAlignment="1" applyProtection="1">
      <alignment horizontal="center" vertical="center"/>
    </xf>
    <xf numFmtId="0" fontId="24" fillId="0" borderId="13" xfId="0" applyFont="1" applyBorder="1" applyAlignment="1">
      <alignment vertical="center"/>
    </xf>
    <xf numFmtId="0" fontId="21" fillId="0" borderId="13" xfId="0" applyFont="1" applyBorder="1" applyAlignment="1">
      <alignment horizontal="left" vertical="center"/>
    </xf>
    <xf numFmtId="0" fontId="19" fillId="0" borderId="13" xfId="6" applyFont="1" applyBorder="1" applyAlignment="1">
      <alignment horizontal="center" vertical="center"/>
    </xf>
    <xf numFmtId="0" fontId="20" fillId="0" borderId="13" xfId="6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0" fontId="21" fillId="0" borderId="30" xfId="0" applyFont="1" applyBorder="1" applyAlignment="1">
      <alignment horizontal="left" vertical="center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49" fontId="21" fillId="11" borderId="28" xfId="0" applyNumberFormat="1" applyFont="1" applyFill="1" applyBorder="1" applyAlignment="1">
      <alignment horizontal="right" vertical="center" wrapText="1"/>
    </xf>
    <xf numFmtId="49" fontId="21" fillId="11" borderId="29" xfId="0" applyNumberFormat="1" applyFont="1" applyFill="1" applyBorder="1" applyAlignment="1">
      <alignment horizontal="right" vertical="center" wrapText="1"/>
    </xf>
    <xf numFmtId="49" fontId="21" fillId="11" borderId="30" xfId="0" applyNumberFormat="1" applyFont="1" applyFill="1" applyBorder="1" applyAlignment="1">
      <alignment horizontal="right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top" wrapText="1"/>
    </xf>
    <xf numFmtId="0" fontId="22" fillId="0" borderId="38" xfId="0" applyFont="1" applyBorder="1" applyAlignment="1">
      <alignment horizontal="center" vertical="top" wrapText="1"/>
    </xf>
    <xf numFmtId="49" fontId="21" fillId="12" borderId="28" xfId="0" applyNumberFormat="1" applyFont="1" applyFill="1" applyBorder="1" applyAlignment="1">
      <alignment horizontal="center" vertical="center" wrapText="1"/>
    </xf>
    <xf numFmtId="49" fontId="21" fillId="12" borderId="29" xfId="0" applyNumberFormat="1" applyFont="1" applyFill="1" applyBorder="1" applyAlignment="1">
      <alignment horizontal="center" vertical="center" wrapText="1"/>
    </xf>
    <xf numFmtId="49" fontId="21" fillId="12" borderId="3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/>
    </xf>
    <xf numFmtId="0" fontId="2" fillId="12" borderId="8" xfId="0" applyFont="1" applyFill="1" applyBorder="1" applyAlignment="1">
      <alignment horizontal="center" vertical="top"/>
    </xf>
    <xf numFmtId="0" fontId="2" fillId="12" borderId="7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12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32" fillId="0" borderId="0" xfId="0" applyFont="1" applyAlignment="1">
      <alignment horizontal="center" wrapText="1"/>
    </xf>
    <xf numFmtId="0" fontId="2" fillId="0" borderId="6" xfId="0" applyFont="1" applyBorder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7" fillId="0" borderId="6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2" fillId="0" borderId="6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 indent="3"/>
    </xf>
    <xf numFmtId="0" fontId="1" fillId="0" borderId="7" xfId="0" applyFont="1" applyBorder="1" applyAlignment="1">
      <alignment horizontal="left" vertical="top" wrapText="1" indent="3"/>
    </xf>
    <xf numFmtId="0" fontId="2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 indent="3"/>
    </xf>
    <xf numFmtId="0" fontId="3" fillId="0" borderId="6" xfId="0" applyFont="1" applyBorder="1" applyAlignment="1">
      <alignment horizontal="left" vertical="top" wrapText="1" indent="4"/>
    </xf>
    <xf numFmtId="0" fontId="1" fillId="0" borderId="7" xfId="0" applyFont="1" applyBorder="1" applyAlignment="1">
      <alignment horizontal="left" vertical="top" wrapText="1" indent="4"/>
    </xf>
    <xf numFmtId="0" fontId="3" fillId="0" borderId="7" xfId="0" applyFont="1" applyBorder="1" applyAlignment="1">
      <alignment horizontal="left" vertical="top" wrapText="1" indent="4"/>
    </xf>
    <xf numFmtId="0" fontId="2" fillId="0" borderId="6" xfId="0" applyFont="1" applyBorder="1" applyAlignment="1">
      <alignment horizontal="left" vertical="top" wrapText="1" indent="61"/>
    </xf>
    <xf numFmtId="0" fontId="2" fillId="0" borderId="8" xfId="0" applyFont="1" applyBorder="1" applyAlignment="1">
      <alignment horizontal="left" vertical="top" wrapText="1" indent="61"/>
    </xf>
    <xf numFmtId="0" fontId="2" fillId="0" borderId="7" xfId="0" applyFont="1" applyBorder="1" applyAlignment="1">
      <alignment horizontal="left" vertical="top" wrapText="1" indent="61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 indent="36"/>
    </xf>
    <xf numFmtId="0" fontId="2" fillId="0" borderId="8" xfId="0" applyFont="1" applyBorder="1" applyAlignment="1">
      <alignment horizontal="left" vertical="top" wrapText="1" indent="36"/>
    </xf>
    <xf numFmtId="0" fontId="2" fillId="0" borderId="7" xfId="0" applyFont="1" applyBorder="1" applyAlignment="1">
      <alignment horizontal="left" vertical="top" wrapText="1" indent="36"/>
    </xf>
    <xf numFmtId="0" fontId="2" fillId="0" borderId="6" xfId="0" applyFont="1" applyBorder="1" applyAlignment="1">
      <alignment horizontal="left" vertical="top" indent="29"/>
    </xf>
    <xf numFmtId="0" fontId="2" fillId="0" borderId="8" xfId="0" applyFont="1" applyBorder="1" applyAlignment="1">
      <alignment horizontal="left" vertical="top" indent="29"/>
    </xf>
    <xf numFmtId="0" fontId="2" fillId="0" borderId="7" xfId="0" applyFont="1" applyBorder="1" applyAlignment="1">
      <alignment horizontal="left" vertical="top" indent="29"/>
    </xf>
    <xf numFmtId="0" fontId="24" fillId="0" borderId="33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28" xfId="0" applyFont="1" applyBorder="1" applyAlignment="1">
      <alignment horizontal="left" vertical="top"/>
    </xf>
    <xf numFmtId="0" fontId="24" fillId="0" borderId="29" xfId="0" applyFont="1" applyBorder="1" applyAlignment="1">
      <alignment horizontal="left" vertical="top"/>
    </xf>
    <xf numFmtId="0" fontId="24" fillId="0" borderId="30" xfId="0" applyFont="1" applyBorder="1" applyAlignment="1">
      <alignment horizontal="left" vertical="top"/>
    </xf>
    <xf numFmtId="0" fontId="24" fillId="0" borderId="33" xfId="0" applyFont="1" applyBorder="1" applyAlignment="1">
      <alignment horizontal="left" vertical="top"/>
    </xf>
    <xf numFmtId="0" fontId="24" fillId="0" borderId="34" xfId="0" applyFont="1" applyBorder="1" applyAlignment="1">
      <alignment horizontal="left" vertical="top"/>
    </xf>
    <xf numFmtId="0" fontId="24" fillId="0" borderId="35" xfId="0" applyFont="1" applyBorder="1" applyAlignment="1">
      <alignment horizontal="left" vertical="top"/>
    </xf>
    <xf numFmtId="0" fontId="24" fillId="0" borderId="4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0" fontId="24" fillId="0" borderId="4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24" fillId="0" borderId="38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4" fillId="0" borderId="32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24" fillId="0" borderId="34" xfId="0" applyFont="1" applyBorder="1" applyAlignment="1">
      <alignment horizontal="center" vertical="center"/>
    </xf>
    <xf numFmtId="0" fontId="36" fillId="11" borderId="28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26" fillId="0" borderId="13" xfId="8" applyNumberFormat="1" applyFont="1" applyBorder="1" applyAlignment="1">
      <alignment horizontal="center" textRotation="255"/>
    </xf>
    <xf numFmtId="2" fontId="27" fillId="0" borderId="13" xfId="8" applyNumberFormat="1" applyFont="1" applyBorder="1" applyAlignment="1">
      <alignment horizontal="center" vertical="center" wrapText="1"/>
    </xf>
    <xf numFmtId="2" fontId="27" fillId="0" borderId="13" xfId="8" applyNumberFormat="1" applyFont="1" applyBorder="1" applyAlignment="1">
      <alignment horizontal="center" vertical="center"/>
    </xf>
    <xf numFmtId="2" fontId="27" fillId="0" borderId="13" xfId="8" applyNumberFormat="1" applyFont="1" applyBorder="1" applyAlignment="1" applyProtection="1">
      <alignment horizontal="center"/>
      <protection locked="0"/>
    </xf>
    <xf numFmtId="2" fontId="29" fillId="0" borderId="43" xfId="8" applyNumberFormat="1" applyFont="1" applyBorder="1" applyAlignment="1">
      <alignment horizontal="left" vertical="center"/>
    </xf>
    <xf numFmtId="2" fontId="29" fillId="0" borderId="42" xfId="8" applyNumberFormat="1" applyFont="1" applyBorder="1" applyAlignment="1">
      <alignment horizontal="left" vertical="center"/>
    </xf>
    <xf numFmtId="2" fontId="29" fillId="0" borderId="44" xfId="8" applyNumberFormat="1" applyFont="1" applyBorder="1" applyAlignment="1">
      <alignment horizontal="left" vertical="center"/>
    </xf>
    <xf numFmtId="2" fontId="31" fillId="0" borderId="46" xfId="8" applyNumberFormat="1" applyFont="1" applyBorder="1" applyAlignment="1">
      <alignment horizontal="left" vertical="center"/>
    </xf>
    <xf numFmtId="2" fontId="31" fillId="0" borderId="47" xfId="8" applyNumberFormat="1" applyFont="1" applyBorder="1" applyAlignment="1">
      <alignment horizontal="left" vertical="center"/>
    </xf>
    <xf numFmtId="2" fontId="31" fillId="0" borderId="48" xfId="8" applyNumberFormat="1" applyFont="1" applyBorder="1" applyAlignment="1">
      <alignment horizontal="left" vertical="center"/>
    </xf>
    <xf numFmtId="0" fontId="33" fillId="0" borderId="0" xfId="0" applyFont="1" applyAlignment="1">
      <alignment horizontal="center" vertical="center" wrapText="1"/>
    </xf>
    <xf numFmtId="0" fontId="28" fillId="11" borderId="33" xfId="0" applyFont="1" applyFill="1" applyBorder="1" applyAlignment="1">
      <alignment horizontal="left" vertical="center" wrapText="1"/>
    </xf>
    <xf numFmtId="0" fontId="28" fillId="11" borderId="35" xfId="0" applyFont="1" applyFill="1" applyBorder="1" applyAlignment="1">
      <alignment horizontal="left" vertical="center" wrapText="1"/>
    </xf>
    <xf numFmtId="0" fontId="30" fillId="13" borderId="33" xfId="0" applyFont="1" applyFill="1" applyBorder="1" applyAlignment="1">
      <alignment horizontal="left" vertical="center" wrapText="1"/>
    </xf>
    <xf numFmtId="0" fontId="30" fillId="13" borderId="3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12" fillId="7" borderId="14" xfId="2" applyFont="1" applyFill="1" applyBorder="1" applyAlignment="1">
      <alignment horizontal="center" vertical="center" wrapText="1"/>
    </xf>
    <xf numFmtId="0" fontId="12" fillId="7" borderId="15" xfId="2" applyFont="1" applyFill="1" applyBorder="1" applyAlignment="1">
      <alignment horizontal="center" vertical="center" wrapText="1"/>
    </xf>
    <xf numFmtId="0" fontId="12" fillId="7" borderId="16" xfId="2" applyFont="1" applyFill="1" applyBorder="1" applyAlignment="1">
      <alignment horizontal="center" vertical="center" wrapText="1"/>
    </xf>
    <xf numFmtId="0" fontId="13" fillId="8" borderId="17" xfId="2" applyFont="1" applyFill="1" applyBorder="1" applyAlignment="1">
      <alignment horizontal="center" vertical="center" wrapText="1"/>
    </xf>
    <xf numFmtId="0" fontId="13" fillId="8" borderId="14" xfId="2" applyFont="1" applyFill="1" applyBorder="1" applyAlignment="1">
      <alignment horizontal="center" vertical="center" wrapText="1"/>
    </xf>
    <xf numFmtId="0" fontId="13" fillId="8" borderId="15" xfId="2" applyFont="1" applyFill="1" applyBorder="1" applyAlignment="1">
      <alignment horizontal="center" vertical="center" wrapText="1"/>
    </xf>
    <xf numFmtId="0" fontId="13" fillId="8" borderId="16" xfId="2" applyFont="1" applyFill="1" applyBorder="1" applyAlignment="1">
      <alignment horizontal="center" vertical="center" wrapText="1"/>
    </xf>
    <xf numFmtId="10" fontId="15" fillId="0" borderId="14" xfId="1" applyNumberFormat="1" applyFont="1" applyBorder="1" applyAlignment="1">
      <alignment horizontal="center" vertical="center"/>
    </xf>
    <xf numFmtId="10" fontId="15" fillId="0" borderId="16" xfId="1" applyNumberFormat="1" applyFont="1" applyBorder="1" applyAlignment="1">
      <alignment horizontal="center" vertical="center"/>
    </xf>
    <xf numFmtId="9" fontId="15" fillId="0" borderId="14" xfId="3" applyFont="1" applyBorder="1" applyAlignment="1">
      <alignment horizontal="center" vertical="center"/>
    </xf>
    <xf numFmtId="9" fontId="15" fillId="0" borderId="16" xfId="3" applyFont="1" applyBorder="1" applyAlignment="1">
      <alignment horizontal="center" vertical="center"/>
    </xf>
    <xf numFmtId="10" fontId="15" fillId="0" borderId="14" xfId="3" applyNumberFormat="1" applyFont="1" applyBorder="1" applyAlignment="1">
      <alignment horizontal="center" vertical="center"/>
    </xf>
    <xf numFmtId="10" fontId="15" fillId="0" borderId="16" xfId="3" applyNumberFormat="1" applyFont="1" applyBorder="1" applyAlignment="1">
      <alignment horizontal="center" vertical="center"/>
    </xf>
    <xf numFmtId="10" fontId="15" fillId="0" borderId="14" xfId="2" applyNumberFormat="1" applyFont="1" applyBorder="1" applyAlignment="1">
      <alignment horizontal="center" vertical="center"/>
    </xf>
    <xf numFmtId="10" fontId="15" fillId="0" borderId="16" xfId="2" applyNumberFormat="1" applyFont="1" applyBorder="1" applyAlignment="1">
      <alignment horizontal="center" vertical="center"/>
    </xf>
    <xf numFmtId="10" fontId="2" fillId="0" borderId="14" xfId="3" applyNumberFormat="1" applyFont="1" applyBorder="1" applyAlignment="1">
      <alignment horizontal="center" vertical="center"/>
    </xf>
    <xf numFmtId="10" fontId="2" fillId="0" borderId="16" xfId="3" applyNumberFormat="1" applyFont="1" applyBorder="1" applyAlignment="1">
      <alignment horizontal="center" vertical="center"/>
    </xf>
    <xf numFmtId="10" fontId="15" fillId="9" borderId="14" xfId="3" applyNumberFormat="1" applyFont="1" applyFill="1" applyBorder="1" applyAlignment="1">
      <alignment horizontal="center" vertical="center"/>
    </xf>
    <xf numFmtId="10" fontId="15" fillId="9" borderId="16" xfId="3" applyNumberFormat="1" applyFont="1" applyFill="1" applyBorder="1" applyAlignment="1">
      <alignment horizontal="center" vertical="center"/>
    </xf>
    <xf numFmtId="0" fontId="15" fillId="0" borderId="14" xfId="2" applyFont="1" applyBorder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2" fillId="0" borderId="18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17" fillId="7" borderId="18" xfId="2" applyFont="1" applyFill="1" applyBorder="1" applyAlignment="1">
      <alignment horizontal="center" vertical="center"/>
    </xf>
    <xf numFmtId="0" fontId="17" fillId="7" borderId="20" xfId="2" applyFont="1" applyFill="1" applyBorder="1" applyAlignment="1">
      <alignment horizontal="center" vertical="center"/>
    </xf>
    <xf numFmtId="0" fontId="17" fillId="7" borderId="19" xfId="2" applyFont="1" applyFill="1" applyBorder="1" applyAlignment="1">
      <alignment horizontal="center" vertical="center"/>
    </xf>
    <xf numFmtId="0" fontId="2" fillId="7" borderId="21" xfId="2" applyFont="1" applyFill="1" applyBorder="1" applyAlignment="1">
      <alignment horizontal="center" vertical="center"/>
    </xf>
    <xf numFmtId="0" fontId="2" fillId="7" borderId="23" xfId="2" applyFont="1" applyFill="1" applyBorder="1" applyAlignment="1">
      <alignment horizontal="center" vertical="center"/>
    </xf>
    <xf numFmtId="0" fontId="2" fillId="7" borderId="22" xfId="2" applyFont="1" applyFill="1" applyBorder="1" applyAlignment="1">
      <alignment horizontal="center" vertical="center"/>
    </xf>
    <xf numFmtId="0" fontId="15" fillId="0" borderId="14" xfId="2" applyFont="1" applyBorder="1" applyAlignment="1">
      <alignment horizontal="right" vertical="center"/>
    </xf>
    <xf numFmtId="0" fontId="15" fillId="0" borderId="16" xfId="2" applyFont="1" applyBorder="1" applyAlignment="1">
      <alignment horizontal="right" vertical="center"/>
    </xf>
    <xf numFmtId="10" fontId="18" fillId="0" borderId="14" xfId="3" applyNumberFormat="1" applyFont="1" applyBorder="1" applyAlignment="1">
      <alignment horizontal="center" vertical="center"/>
    </xf>
    <xf numFmtId="10" fontId="18" fillId="0" borderId="16" xfId="3" applyNumberFormat="1" applyFont="1" applyBorder="1" applyAlignment="1">
      <alignment horizontal="center" vertical="center"/>
    </xf>
    <xf numFmtId="164" fontId="2" fillId="0" borderId="24" xfId="3" applyNumberFormat="1" applyFont="1" applyBorder="1" applyAlignment="1">
      <alignment horizontal="center" vertical="center"/>
    </xf>
    <xf numFmtId="164" fontId="2" fillId="0" borderId="25" xfId="3" applyNumberFormat="1" applyFont="1" applyBorder="1" applyAlignment="1">
      <alignment horizontal="center" vertical="center"/>
    </xf>
    <xf numFmtId="164" fontId="2" fillId="0" borderId="27" xfId="3" applyNumberFormat="1" applyFont="1" applyBorder="1" applyAlignment="1">
      <alignment horizontal="center" vertical="center"/>
    </xf>
    <xf numFmtId="10" fontId="2" fillId="9" borderId="18" xfId="3" applyNumberFormat="1" applyFont="1" applyFill="1" applyBorder="1" applyAlignment="1">
      <alignment horizontal="center" vertical="center"/>
    </xf>
    <xf numFmtId="10" fontId="2" fillId="9" borderId="19" xfId="3" applyNumberFormat="1" applyFont="1" applyFill="1" applyBorder="1" applyAlignment="1">
      <alignment horizontal="center" vertical="center"/>
    </xf>
    <xf numFmtId="10" fontId="2" fillId="9" borderId="21" xfId="3" applyNumberFormat="1" applyFont="1" applyFill="1" applyBorder="1" applyAlignment="1">
      <alignment horizontal="center" vertical="center"/>
    </xf>
    <xf numFmtId="10" fontId="2" fillId="9" borderId="22" xfId="3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wrapText="1"/>
    </xf>
    <xf numFmtId="0" fontId="2" fillId="7" borderId="14" xfId="2" applyFont="1" applyFill="1" applyBorder="1" applyAlignment="1">
      <alignment horizontal="center" vertical="center"/>
    </xf>
    <xf numFmtId="0" fontId="2" fillId="7" borderId="15" xfId="2" applyFont="1" applyFill="1" applyBorder="1" applyAlignment="1">
      <alignment horizontal="center" vertical="center"/>
    </xf>
    <xf numFmtId="0" fontId="2" fillId="7" borderId="16" xfId="2" applyFont="1" applyFill="1" applyBorder="1" applyAlignment="1">
      <alignment horizontal="center" vertical="center"/>
    </xf>
    <xf numFmtId="0" fontId="15" fillId="9" borderId="18" xfId="2" applyFont="1" applyFill="1" applyBorder="1" applyAlignment="1">
      <alignment horizontal="left" vertical="center" wrapText="1"/>
    </xf>
    <xf numFmtId="0" fontId="15" fillId="9" borderId="50" xfId="2" applyFont="1" applyFill="1" applyBorder="1" applyAlignment="1">
      <alignment horizontal="left" vertical="center" wrapText="1"/>
    </xf>
    <xf numFmtId="0" fontId="15" fillId="9" borderId="19" xfId="2" applyFont="1" applyFill="1" applyBorder="1" applyAlignment="1">
      <alignment horizontal="left" vertical="center" wrapText="1"/>
    </xf>
    <xf numFmtId="10" fontId="2" fillId="9" borderId="17" xfId="3" applyNumberFormat="1" applyFont="1" applyFill="1" applyBorder="1" applyAlignment="1">
      <alignment horizontal="center" vertical="center"/>
    </xf>
    <xf numFmtId="10" fontId="2" fillId="9" borderId="26" xfId="3" applyNumberFormat="1" applyFont="1" applyFill="1" applyBorder="1" applyAlignment="1">
      <alignment horizontal="center" vertical="center"/>
    </xf>
    <xf numFmtId="10" fontId="2" fillId="10" borderId="17" xfId="3" applyNumberFormat="1" applyFont="1" applyFill="1" applyBorder="1" applyAlignment="1">
      <alignment horizontal="center" vertical="center"/>
    </xf>
    <xf numFmtId="10" fontId="2" fillId="10" borderId="26" xfId="3" applyNumberFormat="1" applyFont="1" applyFill="1" applyBorder="1" applyAlignment="1">
      <alignment horizontal="center" vertical="center"/>
    </xf>
  </cellXfs>
  <cellStyles count="9">
    <cellStyle name="Moeda" xfId="5" builtinId="4"/>
    <cellStyle name="Normal" xfId="0" builtinId="0"/>
    <cellStyle name="Normal 10" xfId="2"/>
    <cellStyle name="Normal 2" xfId="6"/>
    <cellStyle name="Normal 2 2" xfId="7"/>
    <cellStyle name="Normal_Plan1" xfId="8"/>
    <cellStyle name="Porcentagem" xfId="1" builtinId="5"/>
    <cellStyle name="Porcentagem 2 2" xfId="3"/>
    <cellStyle name="Vírgul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162298</xdr:colOff>
      <xdr:row>0</xdr:row>
      <xdr:rowOff>131107</xdr:rowOff>
    </xdr:from>
    <xdr:to>
      <xdr:col>8</xdr:col>
      <xdr:colOff>104775</xdr:colOff>
      <xdr:row>1</xdr:row>
      <xdr:rowOff>19049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52948" y="131107"/>
          <a:ext cx="8619752" cy="926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/>
          <a:r>
            <a:rPr lang="pt-BR" sz="1800" b="1">
              <a:effectLst/>
              <a:latin typeface="+mn-lt"/>
              <a:ea typeface="+mn-ea"/>
              <a:cs typeface="+mn-cs"/>
            </a:rPr>
            <a:t>PREFEITURA MUNICIPAL DE BRASÍLIA DE MINAS</a:t>
          </a:r>
          <a:endParaRPr lang="pt-BR" sz="18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800" b="1">
              <a:effectLst/>
              <a:latin typeface="+mn-lt"/>
              <a:ea typeface="+mn-ea"/>
              <a:cs typeface="+mn-cs"/>
            </a:rPr>
            <a:t>Secretaria Municipal de Obras e Serviços</a:t>
          </a:r>
          <a:endParaRPr lang="pt-BR" sz="18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>
              <a:effectLst/>
              <a:latin typeface="+mn-lt"/>
              <a:ea typeface="+mn-ea"/>
              <a:cs typeface="+mn-cs"/>
            </a:rPr>
            <a:t>Rua Coronel Sansão, nº 375 - Centro - CEP: 39.330-000 </a:t>
          </a:r>
        </a:p>
      </xdr:txBody>
    </xdr:sp>
    <xdr:clientData/>
  </xdr:twoCellAnchor>
  <xdr:twoCellAnchor editAs="oneCell">
    <xdr:from>
      <xdr:col>0</xdr:col>
      <xdr:colOff>619125</xdr:colOff>
      <xdr:row>0</xdr:row>
      <xdr:rowOff>95251</xdr:rowOff>
    </xdr:from>
    <xdr:to>
      <xdr:col>2</xdr:col>
      <xdr:colOff>190500</xdr:colOff>
      <xdr:row>0</xdr:row>
      <xdr:rowOff>1009651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95251"/>
          <a:ext cx="962025" cy="914400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1096494</xdr:colOff>
      <xdr:row>0</xdr:row>
      <xdr:rowOff>112059</xdr:rowOff>
    </xdr:from>
    <xdr:to>
      <xdr:col>6</xdr:col>
      <xdr:colOff>750793</xdr:colOff>
      <xdr:row>1</xdr:row>
      <xdr:rowOff>1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706094" y="112059"/>
          <a:ext cx="4883524" cy="74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ESTADO DE MINAS GERAIS</a:t>
          </a: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Secretaria de Estado de Transportes e Obras Públicas</a:t>
          </a:r>
        </a:p>
        <a:p>
          <a:pPr algn="l" rtl="1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Superintendência de Apoio a Infra-estrutura Municipal</a:t>
          </a:r>
        </a:p>
        <a:p>
          <a:pPr algn="l" rtl="1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Diretoria de Prestação de Contas</a:t>
          </a:r>
        </a:p>
      </xdr:txBody>
    </xdr:sp>
    <xdr:clientData/>
  </xdr:twoCellAnchor>
  <xdr:twoCellAnchor>
    <xdr:from>
      <xdr:col>2</xdr:col>
      <xdr:colOff>590923</xdr:colOff>
      <xdr:row>1</xdr:row>
      <xdr:rowOff>73956</xdr:rowOff>
    </xdr:from>
    <xdr:to>
      <xdr:col>10</xdr:col>
      <xdr:colOff>857250</xdr:colOff>
      <xdr:row>3</xdr:row>
      <xdr:rowOff>28573</xdr:rowOff>
    </xdr:to>
    <xdr:sp macro="" textlink="">
      <xdr:nvSpPr>
        <xdr:cNvPr id="6" name="Text Box 6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2314948" y="235881"/>
          <a:ext cx="8619752" cy="1097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/>
          <a:r>
            <a:rPr lang="pt-BR" sz="1800" b="1">
              <a:effectLst/>
              <a:latin typeface="+mn-lt"/>
              <a:ea typeface="+mn-ea"/>
              <a:cs typeface="+mn-cs"/>
            </a:rPr>
            <a:t>PREFEITURA MUNICIPAL DE BRASÍLIA DE MINAS</a:t>
          </a:r>
          <a:endParaRPr lang="pt-BR" sz="18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800" b="1">
              <a:effectLst/>
              <a:latin typeface="+mn-lt"/>
              <a:ea typeface="+mn-ea"/>
              <a:cs typeface="+mn-cs"/>
            </a:rPr>
            <a:t>Secretaria Municipal de Obras e Serviços</a:t>
          </a:r>
          <a:endParaRPr lang="pt-BR" sz="18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>
              <a:effectLst/>
              <a:latin typeface="+mn-lt"/>
              <a:ea typeface="+mn-ea"/>
              <a:cs typeface="+mn-cs"/>
            </a:rPr>
            <a:t>Rua Coronel Sansão, nº 375 - Centro - CEP: 39.330-000 </a:t>
          </a:r>
        </a:p>
      </xdr:txBody>
    </xdr:sp>
    <xdr:clientData/>
  </xdr:twoCellAnchor>
  <xdr:twoCellAnchor editAs="oneCell">
    <xdr:from>
      <xdr:col>1</xdr:col>
      <xdr:colOff>171451</xdr:colOff>
      <xdr:row>1</xdr:row>
      <xdr:rowOff>57150</xdr:rowOff>
    </xdr:from>
    <xdr:to>
      <xdr:col>1</xdr:col>
      <xdr:colOff>1104901</xdr:colOff>
      <xdr:row>1</xdr:row>
      <xdr:rowOff>923925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1" y="219075"/>
          <a:ext cx="933450" cy="866775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GENHARIA\Desktop\OBRAS\PRA&#199;A%20VILA%20DE%20F&#193;TIMA\PLAN%20OR&#199;%20PRA&#199;A%20VILA%20DE%20FATIMA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GENHARIA\Desktop\Pra&#231;a%20Vale%20das%20Palmeiras\PRA&#199;A%20VALE%20DAS%20PALMEIRAS%20SET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ÁRIA (PRAÇA F)"/>
      <sheetName val="CRONOGRAMA"/>
      <sheetName val="BDI - COM DESONERAÇÃO"/>
      <sheetName val="MEMORIAL DE CÁLCULO"/>
    </sheetNames>
    <sheetDataSet>
      <sheetData sheetId="0">
        <row r="6">
          <cell r="A6" t="str">
            <v>PREFEITURA: PREFEITURA MUNICIPAL DE BRASILIA DE MINAS /MG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11">
          <cell r="I11">
            <v>0.28449999999999998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de Orçamento"/>
      <sheetName val="Memória de Cálculo "/>
      <sheetName val="Composição de Custo "/>
      <sheetName val="BDI"/>
      <sheetName val="Cronograma"/>
    </sheetNames>
    <sheetDataSet>
      <sheetData sheetId="0" refreshError="1"/>
      <sheetData sheetId="1" refreshError="1">
        <row r="70">
          <cell r="B70" t="str">
            <v>_______________________________________
Prefeito Municipal
Marcus Vinicius Ferreira Carvalho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view="pageBreakPreview" topLeftCell="A34" zoomScaleNormal="100" zoomScaleSheetLayoutView="100" workbookViewId="0">
      <selection activeCell="E48" sqref="E48:I48"/>
    </sheetView>
  </sheetViews>
  <sheetFormatPr defaultRowHeight="12.75"/>
  <cols>
    <col min="1" max="1" width="11.5" customWidth="1"/>
    <col min="2" max="2" width="12.83203125" customWidth="1"/>
    <col min="3" max="3" width="18.5" customWidth="1"/>
    <col min="4" max="4" width="62.6640625" customWidth="1"/>
    <col min="5" max="5" width="12.83203125" customWidth="1"/>
    <col min="6" max="6" width="17.5" customWidth="1"/>
    <col min="7" max="7" width="19.1640625" customWidth="1"/>
    <col min="8" max="8" width="21.1640625" customWidth="1"/>
    <col min="9" max="9" width="25.1640625" customWidth="1"/>
    <col min="11" max="11" width="29.5" customWidth="1"/>
    <col min="13" max="13" width="18" customWidth="1"/>
    <col min="14" max="14" width="10.33203125" customWidth="1"/>
  </cols>
  <sheetData>
    <row r="1" spans="1:11" ht="81.75" customHeight="1">
      <c r="A1" s="137"/>
      <c r="B1" s="137"/>
      <c r="C1" s="137"/>
      <c r="D1" s="137"/>
      <c r="E1" s="137"/>
      <c r="F1" s="137"/>
      <c r="G1" s="137"/>
      <c r="H1" s="137"/>
      <c r="I1" s="137"/>
    </row>
    <row r="2" spans="1:11" ht="15">
      <c r="A2" s="138" t="s">
        <v>80</v>
      </c>
      <c r="B2" s="138"/>
      <c r="C2" s="138"/>
      <c r="D2" s="138"/>
      <c r="E2" s="138"/>
      <c r="F2" s="138"/>
      <c r="G2" s="138"/>
      <c r="H2" s="138"/>
      <c r="I2" s="138"/>
    </row>
    <row r="3" spans="1:11" ht="14.25">
      <c r="A3" s="137"/>
      <c r="B3" s="137"/>
      <c r="C3" s="137"/>
      <c r="D3" s="137"/>
      <c r="E3" s="137"/>
      <c r="F3" s="137"/>
      <c r="G3" s="137"/>
      <c r="H3" s="137"/>
      <c r="I3" s="137"/>
    </row>
    <row r="4" spans="1:11" ht="15">
      <c r="A4" s="138" t="s">
        <v>81</v>
      </c>
      <c r="B4" s="138"/>
      <c r="C4" s="138"/>
      <c r="D4" s="138"/>
      <c r="E4" s="138"/>
      <c r="F4" s="138"/>
      <c r="G4" s="138"/>
      <c r="H4" s="138"/>
      <c r="I4" s="138"/>
    </row>
    <row r="5" spans="1:11" ht="15">
      <c r="A5" s="139" t="s">
        <v>82</v>
      </c>
      <c r="B5" s="140"/>
      <c r="C5" s="140"/>
      <c r="D5" s="140"/>
      <c r="E5" s="140"/>
      <c r="F5" s="140"/>
      <c r="G5" s="140"/>
      <c r="H5" s="140"/>
      <c r="I5" s="141"/>
    </row>
    <row r="6" spans="1:11" ht="15">
      <c r="A6" s="136" t="s">
        <v>199</v>
      </c>
      <c r="B6" s="136"/>
      <c r="C6" s="136"/>
      <c r="D6" s="136"/>
      <c r="E6" s="136"/>
      <c r="F6" s="136"/>
      <c r="G6" s="136"/>
      <c r="H6" s="33" t="s">
        <v>230</v>
      </c>
      <c r="I6" s="34"/>
    </row>
    <row r="7" spans="1:11" ht="15">
      <c r="A7" s="136" t="s">
        <v>200</v>
      </c>
      <c r="B7" s="136"/>
      <c r="C7" s="136"/>
      <c r="D7" s="136"/>
      <c r="E7" s="136"/>
      <c r="F7" s="148" t="s">
        <v>83</v>
      </c>
      <c r="G7" s="148"/>
      <c r="H7" s="148"/>
      <c r="I7" s="148"/>
    </row>
    <row r="8" spans="1:11" ht="15">
      <c r="A8" s="149" t="s">
        <v>231</v>
      </c>
      <c r="B8" s="150"/>
      <c r="C8" s="150"/>
      <c r="D8" s="150"/>
      <c r="E8" s="151"/>
      <c r="F8" s="35" t="s">
        <v>84</v>
      </c>
      <c r="G8" s="33" t="s">
        <v>85</v>
      </c>
      <c r="H8" s="35" t="s">
        <v>86</v>
      </c>
      <c r="I8" s="34" t="s">
        <v>87</v>
      </c>
    </row>
    <row r="9" spans="1:11" ht="15">
      <c r="A9" s="149" t="s">
        <v>88</v>
      </c>
      <c r="B9" s="150"/>
      <c r="C9" s="150"/>
      <c r="D9" s="150"/>
      <c r="E9" s="151"/>
      <c r="F9" s="33"/>
      <c r="G9" s="33"/>
      <c r="H9" s="35"/>
      <c r="I9" s="34"/>
    </row>
    <row r="10" spans="1:11" ht="15">
      <c r="A10" s="136" t="s">
        <v>89</v>
      </c>
      <c r="B10" s="136"/>
      <c r="C10" s="136"/>
      <c r="D10" s="136"/>
      <c r="E10" s="136"/>
      <c r="F10" s="152" t="s">
        <v>90</v>
      </c>
      <c r="G10" s="152"/>
      <c r="H10" s="152"/>
      <c r="I10" s="36">
        <v>0.29459999999999997</v>
      </c>
    </row>
    <row r="11" spans="1:11" ht="45">
      <c r="A11" s="35" t="s">
        <v>91</v>
      </c>
      <c r="B11" s="35" t="s">
        <v>92</v>
      </c>
      <c r="C11" s="35" t="s">
        <v>93</v>
      </c>
      <c r="D11" s="37" t="s">
        <v>8</v>
      </c>
      <c r="E11" s="35" t="s">
        <v>94</v>
      </c>
      <c r="F11" s="35" t="s">
        <v>95</v>
      </c>
      <c r="G11" s="38" t="s">
        <v>96</v>
      </c>
      <c r="H11" s="38" t="s">
        <v>97</v>
      </c>
      <c r="I11" s="39" t="s">
        <v>98</v>
      </c>
    </row>
    <row r="12" spans="1:11" ht="15">
      <c r="A12" s="40" t="s">
        <v>201</v>
      </c>
      <c r="B12" s="40"/>
      <c r="C12" s="41"/>
      <c r="D12" s="42" t="s">
        <v>99</v>
      </c>
      <c r="E12" s="42"/>
      <c r="F12" s="42"/>
      <c r="G12" s="42"/>
      <c r="H12" s="42"/>
      <c r="I12" s="43"/>
    </row>
    <row r="13" spans="1:11" ht="42.75">
      <c r="A13" s="44" t="s">
        <v>3</v>
      </c>
      <c r="B13" s="44" t="s">
        <v>131</v>
      </c>
      <c r="C13" s="45">
        <v>103689</v>
      </c>
      <c r="D13" s="46" t="s">
        <v>130</v>
      </c>
      <c r="E13" s="57" t="s">
        <v>66</v>
      </c>
      <c r="F13" s="49">
        <f>'MEMÓRIA DE CÁLCULO'!I11</f>
        <v>4.5</v>
      </c>
      <c r="G13" s="47">
        <v>506.22</v>
      </c>
      <c r="H13" s="47">
        <f>ROUND(G13*1.2946,2)</f>
        <v>655.35</v>
      </c>
      <c r="I13" s="48">
        <f>ROUND(F13*H13,2)</f>
        <v>2949.08</v>
      </c>
      <c r="K13">
        <f>ROUND(F13*G13,2)</f>
        <v>2277.9899999999998</v>
      </c>
    </row>
    <row r="14" spans="1:11" ht="15" customHeight="1">
      <c r="A14" s="145" t="s">
        <v>100</v>
      </c>
      <c r="B14" s="146"/>
      <c r="C14" s="146"/>
      <c r="D14" s="146"/>
      <c r="E14" s="146"/>
      <c r="F14" s="146"/>
      <c r="G14" s="146"/>
      <c r="H14" s="147"/>
      <c r="I14" s="51">
        <f>SUM(I13:I13)</f>
        <v>2949.08</v>
      </c>
      <c r="K14">
        <f t="shared" ref="K14:K40" si="0">ROUND(F14*G14,2)</f>
        <v>0</v>
      </c>
    </row>
    <row r="15" spans="1:11" ht="14.25">
      <c r="A15" s="142"/>
      <c r="B15" s="143"/>
      <c r="C15" s="143"/>
      <c r="D15" s="143"/>
      <c r="E15" s="143"/>
      <c r="F15" s="143"/>
      <c r="G15" s="143"/>
      <c r="H15" s="143"/>
      <c r="I15" s="144"/>
      <c r="K15">
        <f t="shared" si="0"/>
        <v>0</v>
      </c>
    </row>
    <row r="16" spans="1:11" ht="15">
      <c r="A16" s="40" t="s">
        <v>68</v>
      </c>
      <c r="B16" s="40"/>
      <c r="C16" s="52"/>
      <c r="D16" s="53" t="s">
        <v>132</v>
      </c>
      <c r="E16" s="54"/>
      <c r="F16" s="54"/>
      <c r="G16" s="55"/>
      <c r="H16" s="55"/>
      <c r="I16" s="56"/>
      <c r="K16">
        <f t="shared" si="0"/>
        <v>0</v>
      </c>
    </row>
    <row r="17" spans="1:14" ht="85.5">
      <c r="A17" s="57" t="s">
        <v>69</v>
      </c>
      <c r="B17" s="44" t="s">
        <v>131</v>
      </c>
      <c r="C17" s="57">
        <v>101142</v>
      </c>
      <c r="D17" s="58" t="s">
        <v>179</v>
      </c>
      <c r="E17" s="57" t="s">
        <v>65</v>
      </c>
      <c r="F17" s="83">
        <f>'MEMÓRIA DE CÁLCULO'!I30</f>
        <v>2375.4899999999998</v>
      </c>
      <c r="G17" s="57">
        <v>18.61</v>
      </c>
      <c r="H17" s="47">
        <f t="shared" ref="H17:H40" si="1">ROUND(G17*1.2946,2)</f>
        <v>24.09</v>
      </c>
      <c r="I17" s="50">
        <f>ROUND(F17*H17,2)</f>
        <v>57225.55</v>
      </c>
      <c r="K17">
        <f t="shared" si="0"/>
        <v>44207.87</v>
      </c>
    </row>
    <row r="18" spans="1:14" ht="85.5">
      <c r="A18" s="57" t="s">
        <v>70</v>
      </c>
      <c r="B18" s="44" t="s">
        <v>131</v>
      </c>
      <c r="C18" s="57">
        <v>105564</v>
      </c>
      <c r="D18" s="58" t="s">
        <v>176</v>
      </c>
      <c r="E18" s="57" t="s">
        <v>65</v>
      </c>
      <c r="F18" s="83">
        <f>'MEMÓRIA DE CÁLCULO'!I47+'MEMÓRIA DE CÁLCULO'!I64</f>
        <v>2803.9700000000003</v>
      </c>
      <c r="G18" s="57">
        <v>6.2</v>
      </c>
      <c r="H18" s="47">
        <f t="shared" si="1"/>
        <v>8.0299999999999994</v>
      </c>
      <c r="I18" s="50">
        <f>ROUND(F18*H18,2)</f>
        <v>22515.88</v>
      </c>
    </row>
    <row r="19" spans="1:14" ht="15">
      <c r="A19" s="145" t="s">
        <v>100</v>
      </c>
      <c r="B19" s="146"/>
      <c r="C19" s="146"/>
      <c r="D19" s="146"/>
      <c r="E19" s="146"/>
      <c r="F19" s="146"/>
      <c r="G19" s="146"/>
      <c r="H19" s="147"/>
      <c r="I19" s="51">
        <f>SUM(I17:I18)</f>
        <v>79741.430000000008</v>
      </c>
      <c r="L19">
        <v>1515</v>
      </c>
      <c r="M19">
        <v>80.650000000000006</v>
      </c>
      <c r="N19">
        <f>L19*M19</f>
        <v>122184.75000000001</v>
      </c>
    </row>
    <row r="20" spans="1:14" ht="14.25">
      <c r="A20" s="142"/>
      <c r="B20" s="143"/>
      <c r="C20" s="143"/>
      <c r="D20" s="143"/>
      <c r="E20" s="143"/>
      <c r="F20" s="143"/>
      <c r="G20" s="143"/>
      <c r="H20" s="143"/>
      <c r="I20" s="144"/>
    </row>
    <row r="21" spans="1:14" ht="15">
      <c r="A21" s="40" t="s">
        <v>157</v>
      </c>
      <c r="B21" s="40"/>
      <c r="C21" s="52"/>
      <c r="D21" s="53" t="s">
        <v>156</v>
      </c>
      <c r="E21" s="54"/>
      <c r="F21" s="54"/>
      <c r="G21" s="55"/>
      <c r="H21" s="55"/>
      <c r="I21" s="56"/>
    </row>
    <row r="22" spans="1:14" ht="38.25">
      <c r="A22" s="57" t="s">
        <v>158</v>
      </c>
      <c r="B22" s="44" t="s">
        <v>131</v>
      </c>
      <c r="C22" s="57">
        <v>96526</v>
      </c>
      <c r="D22" s="118" t="s">
        <v>208</v>
      </c>
      <c r="E22" s="57" t="s">
        <v>65</v>
      </c>
      <c r="F22" s="83">
        <f>'MEMÓRIA DE CÁLCULO'!I74</f>
        <v>45.3</v>
      </c>
      <c r="G22" s="57">
        <v>202.28</v>
      </c>
      <c r="H22" s="47">
        <f t="shared" ref="H22" si="2">ROUND(G22*1.2946,2)</f>
        <v>261.87</v>
      </c>
      <c r="I22" s="50">
        <f>ROUND(F22*H22,2)</f>
        <v>11862.71</v>
      </c>
    </row>
    <row r="23" spans="1:14" ht="42.75">
      <c r="A23" s="57" t="s">
        <v>159</v>
      </c>
      <c r="B23" s="44" t="s">
        <v>131</v>
      </c>
      <c r="C23" s="57">
        <v>101616</v>
      </c>
      <c r="D23" s="58" t="s">
        <v>209</v>
      </c>
      <c r="E23" s="57" t="s">
        <v>66</v>
      </c>
      <c r="F23" s="83">
        <f>'MEMÓRIA DE CÁLCULO'!I82</f>
        <v>71.66</v>
      </c>
      <c r="G23" s="57">
        <v>6.37</v>
      </c>
      <c r="H23" s="47">
        <f t="shared" si="1"/>
        <v>8.25</v>
      </c>
      <c r="I23" s="50">
        <f>ROUND(F23*H23,2)</f>
        <v>591.20000000000005</v>
      </c>
      <c r="K23">
        <f t="shared" si="0"/>
        <v>456.47</v>
      </c>
    </row>
    <row r="24" spans="1:14" ht="28.5">
      <c r="A24" s="57" t="s">
        <v>160</v>
      </c>
      <c r="B24" s="44" t="s">
        <v>131</v>
      </c>
      <c r="C24" s="57">
        <v>104737</v>
      </c>
      <c r="D24" s="58" t="s">
        <v>210</v>
      </c>
      <c r="E24" s="57" t="s">
        <v>65</v>
      </c>
      <c r="F24" s="83">
        <f>'MEMÓRIA DE CÁLCULO'!I88</f>
        <v>28.46</v>
      </c>
      <c r="G24" s="57">
        <v>21.09</v>
      </c>
      <c r="H24" s="47">
        <f t="shared" si="1"/>
        <v>27.3</v>
      </c>
      <c r="I24" s="50">
        <f t="shared" ref="I24:I40" si="3">ROUND(F24*H24,2)</f>
        <v>776.96</v>
      </c>
      <c r="K24">
        <f t="shared" si="0"/>
        <v>600.22</v>
      </c>
    </row>
    <row r="25" spans="1:14" ht="42.75">
      <c r="A25" s="57" t="s">
        <v>161</v>
      </c>
      <c r="B25" s="44" t="s">
        <v>131</v>
      </c>
      <c r="C25" s="57">
        <v>96619</v>
      </c>
      <c r="D25" s="58" t="s">
        <v>211</v>
      </c>
      <c r="E25" s="57" t="s">
        <v>65</v>
      </c>
      <c r="F25" s="83">
        <f>'MEMÓRIA DE CÁLCULO'!I96</f>
        <v>7.18</v>
      </c>
      <c r="G25" s="50">
        <v>43.93</v>
      </c>
      <c r="H25" s="47">
        <f t="shared" si="1"/>
        <v>56.87</v>
      </c>
      <c r="I25" s="50">
        <f t="shared" si="3"/>
        <v>408.33</v>
      </c>
      <c r="K25">
        <f t="shared" si="0"/>
        <v>315.42</v>
      </c>
    </row>
    <row r="26" spans="1:14" ht="42.75">
      <c r="A26" s="57" t="s">
        <v>162</v>
      </c>
      <c r="B26" s="44" t="s">
        <v>131</v>
      </c>
      <c r="C26" s="57">
        <v>96556</v>
      </c>
      <c r="D26" s="58" t="s">
        <v>212</v>
      </c>
      <c r="E26" s="57" t="s">
        <v>65</v>
      </c>
      <c r="F26" s="83">
        <f>'MEMÓRIA DE CÁLCULO'!I103</f>
        <v>9.66</v>
      </c>
      <c r="G26" s="50">
        <v>946.47</v>
      </c>
      <c r="H26" s="47">
        <f t="shared" si="1"/>
        <v>1225.3</v>
      </c>
      <c r="I26" s="50">
        <f t="shared" si="3"/>
        <v>11836.4</v>
      </c>
      <c r="K26">
        <f t="shared" si="0"/>
        <v>9142.9</v>
      </c>
    </row>
    <row r="27" spans="1:14" ht="57">
      <c r="A27" s="57" t="s">
        <v>163</v>
      </c>
      <c r="B27" s="44" t="s">
        <v>131</v>
      </c>
      <c r="C27" s="57">
        <v>96555</v>
      </c>
      <c r="D27" s="58" t="s">
        <v>216</v>
      </c>
      <c r="E27" s="57" t="s">
        <v>65</v>
      </c>
      <c r="F27" s="83">
        <f>'MEMÓRIA DE CÁLCULO'!I110</f>
        <v>11.3</v>
      </c>
      <c r="G27" s="50">
        <v>792</v>
      </c>
      <c r="H27" s="47">
        <f t="shared" si="1"/>
        <v>1025.32</v>
      </c>
      <c r="I27" s="50">
        <f t="shared" si="3"/>
        <v>11586.12</v>
      </c>
    </row>
    <row r="28" spans="1:14" ht="42.75">
      <c r="A28" s="57" t="s">
        <v>164</v>
      </c>
      <c r="B28" s="44" t="s">
        <v>131</v>
      </c>
      <c r="C28" s="57">
        <v>104919</v>
      </c>
      <c r="D28" s="58" t="s">
        <v>207</v>
      </c>
      <c r="E28" s="57" t="s">
        <v>67</v>
      </c>
      <c r="F28" s="83">
        <f>'MEMÓRIA DE CÁLCULO'!I116</f>
        <v>402.78</v>
      </c>
      <c r="G28" s="50">
        <v>12.63</v>
      </c>
      <c r="H28" s="47">
        <f t="shared" si="1"/>
        <v>16.350000000000001</v>
      </c>
      <c r="I28" s="50">
        <f t="shared" si="3"/>
        <v>6585.45</v>
      </c>
    </row>
    <row r="29" spans="1:14" ht="42.75">
      <c r="A29" s="57" t="s">
        <v>165</v>
      </c>
      <c r="B29" s="44" t="s">
        <v>131</v>
      </c>
      <c r="C29" s="57">
        <v>104918</v>
      </c>
      <c r="D29" s="58" t="s">
        <v>205</v>
      </c>
      <c r="E29" s="57" t="s">
        <v>67</v>
      </c>
      <c r="F29" s="83">
        <f>'MEMÓRIA DE CÁLCULO'!I122</f>
        <v>425.02</v>
      </c>
      <c r="G29" s="50">
        <v>14.19</v>
      </c>
      <c r="H29" s="47">
        <f t="shared" si="1"/>
        <v>18.37</v>
      </c>
      <c r="I29" s="50">
        <f t="shared" si="3"/>
        <v>7807.62</v>
      </c>
      <c r="K29">
        <f t="shared" si="0"/>
        <v>6031.03</v>
      </c>
    </row>
    <row r="30" spans="1:14" ht="42.75">
      <c r="A30" s="57" t="s">
        <v>213</v>
      </c>
      <c r="B30" s="44" t="s">
        <v>131</v>
      </c>
      <c r="C30" s="57">
        <v>104917</v>
      </c>
      <c r="D30" s="58" t="s">
        <v>206</v>
      </c>
      <c r="E30" s="57" t="s">
        <v>67</v>
      </c>
      <c r="F30" s="83">
        <f>'MEMÓRIA DE CÁLCULO'!I128</f>
        <v>287.88</v>
      </c>
      <c r="G30" s="50">
        <v>15.4</v>
      </c>
      <c r="H30" s="47">
        <v>15.4</v>
      </c>
      <c r="I30" s="50">
        <f t="shared" si="3"/>
        <v>4433.3500000000004</v>
      </c>
    </row>
    <row r="31" spans="1:14" ht="42.75">
      <c r="A31" s="57" t="s">
        <v>214</v>
      </c>
      <c r="B31" s="44" t="s">
        <v>131</v>
      </c>
      <c r="C31" s="57">
        <v>104916</v>
      </c>
      <c r="D31" s="58" t="s">
        <v>204</v>
      </c>
      <c r="E31" s="57" t="s">
        <v>67</v>
      </c>
      <c r="F31" s="83">
        <f>'MEMÓRIA DE CÁLCULO'!I134</f>
        <v>143.26</v>
      </c>
      <c r="G31" s="50">
        <v>16.7</v>
      </c>
      <c r="H31" s="47">
        <v>16.7</v>
      </c>
      <c r="I31" s="50">
        <f t="shared" si="3"/>
        <v>2392.44</v>
      </c>
      <c r="K31">
        <f t="shared" si="0"/>
        <v>2392.44</v>
      </c>
    </row>
    <row r="32" spans="1:14" ht="71.25">
      <c r="A32" s="57" t="s">
        <v>215</v>
      </c>
      <c r="B32" s="44" t="s">
        <v>131</v>
      </c>
      <c r="C32" s="57">
        <v>92427</v>
      </c>
      <c r="D32" s="58" t="s">
        <v>217</v>
      </c>
      <c r="E32" s="57" t="s">
        <v>66</v>
      </c>
      <c r="F32" s="83">
        <f>'MEMÓRIA DE CÁLCULO'!I140</f>
        <v>59.84</v>
      </c>
      <c r="G32" s="50">
        <v>64.06</v>
      </c>
      <c r="H32" s="47">
        <f t="shared" si="1"/>
        <v>82.93</v>
      </c>
      <c r="I32" s="50">
        <f t="shared" si="3"/>
        <v>4962.53</v>
      </c>
      <c r="K32">
        <f t="shared" si="0"/>
        <v>3833.35</v>
      </c>
    </row>
    <row r="33" spans="1:11" ht="15">
      <c r="A33" s="145" t="s">
        <v>100</v>
      </c>
      <c r="B33" s="146"/>
      <c r="C33" s="146"/>
      <c r="D33" s="146"/>
      <c r="E33" s="146"/>
      <c r="F33" s="146"/>
      <c r="G33" s="146"/>
      <c r="H33" s="147"/>
      <c r="I33" s="51">
        <f>SUM(I22:I32)</f>
        <v>63243.11</v>
      </c>
    </row>
    <row r="34" spans="1:11" ht="14.25">
      <c r="A34" s="142"/>
      <c r="B34" s="143"/>
      <c r="C34" s="143"/>
      <c r="D34" s="143"/>
      <c r="E34" s="143"/>
      <c r="F34" s="143"/>
      <c r="G34" s="143"/>
      <c r="H34" s="143"/>
      <c r="I34" s="144"/>
    </row>
    <row r="35" spans="1:11" ht="15">
      <c r="A35" s="40" t="s">
        <v>173</v>
      </c>
      <c r="B35" s="40"/>
      <c r="C35" s="52"/>
      <c r="D35" s="53" t="s">
        <v>172</v>
      </c>
      <c r="E35" s="54"/>
      <c r="F35" s="54"/>
      <c r="G35" s="55"/>
      <c r="H35" s="55"/>
      <c r="I35" s="56"/>
    </row>
    <row r="36" spans="1:11" ht="99.75">
      <c r="A36" s="57" t="s">
        <v>174</v>
      </c>
      <c r="B36" s="57" t="s">
        <v>175</v>
      </c>
      <c r="C36" s="57">
        <v>102364</v>
      </c>
      <c r="D36" s="58" t="s">
        <v>171</v>
      </c>
      <c r="E36" s="57" t="s">
        <v>66</v>
      </c>
      <c r="F36" s="83">
        <f>'MEMÓRIA DE CÁLCULO'!I151</f>
        <v>810.4</v>
      </c>
      <c r="G36" s="50">
        <v>201.58</v>
      </c>
      <c r="H36" s="47">
        <f t="shared" si="1"/>
        <v>260.97000000000003</v>
      </c>
      <c r="I36" s="50">
        <f t="shared" si="3"/>
        <v>211490.09</v>
      </c>
      <c r="K36">
        <v>276</v>
      </c>
    </row>
    <row r="37" spans="1:11" ht="15">
      <c r="A37" s="145" t="s">
        <v>100</v>
      </c>
      <c r="B37" s="146"/>
      <c r="C37" s="146"/>
      <c r="D37" s="146"/>
      <c r="E37" s="146"/>
      <c r="F37" s="146"/>
      <c r="G37" s="146"/>
      <c r="H37" s="147"/>
      <c r="I37" s="51">
        <f>SUM(I36)</f>
        <v>211490.09</v>
      </c>
    </row>
    <row r="38" spans="1:11" ht="14.25">
      <c r="A38" s="142"/>
      <c r="B38" s="143"/>
      <c r="C38" s="143"/>
      <c r="D38" s="143"/>
      <c r="E38" s="143"/>
      <c r="F38" s="143"/>
      <c r="G38" s="143"/>
      <c r="H38" s="143"/>
      <c r="I38" s="144"/>
    </row>
    <row r="39" spans="1:11" ht="15">
      <c r="A39" s="40" t="s">
        <v>191</v>
      </c>
      <c r="B39" s="40"/>
      <c r="C39" s="52"/>
      <c r="D39" s="53" t="s">
        <v>189</v>
      </c>
      <c r="E39" s="54"/>
      <c r="F39" s="54"/>
      <c r="G39" s="55"/>
      <c r="H39" s="55"/>
      <c r="I39" s="56"/>
    </row>
    <row r="40" spans="1:11" ht="71.25">
      <c r="A40" s="57" t="s">
        <v>192</v>
      </c>
      <c r="B40" s="57" t="s">
        <v>175</v>
      </c>
      <c r="C40" s="57">
        <v>100745</v>
      </c>
      <c r="D40" s="58" t="s">
        <v>190</v>
      </c>
      <c r="E40" s="57" t="s">
        <v>66</v>
      </c>
      <c r="F40" s="83">
        <f>'MEMÓRIA DE CÁLCULO'!I163</f>
        <v>143.89000000000001</v>
      </c>
      <c r="G40" s="50">
        <v>27.69</v>
      </c>
      <c r="H40" s="47">
        <f t="shared" si="1"/>
        <v>35.85</v>
      </c>
      <c r="I40" s="50">
        <f t="shared" si="3"/>
        <v>5158.46</v>
      </c>
      <c r="K40">
        <f t="shared" si="0"/>
        <v>3984.31</v>
      </c>
    </row>
    <row r="41" spans="1:11" ht="15">
      <c r="A41" s="145" t="s">
        <v>101</v>
      </c>
      <c r="B41" s="146"/>
      <c r="C41" s="146"/>
      <c r="D41" s="146"/>
      <c r="E41" s="146"/>
      <c r="F41" s="146"/>
      <c r="G41" s="146"/>
      <c r="H41" s="147"/>
      <c r="I41" s="51">
        <f>SUM(I40:I40)</f>
        <v>5158.46</v>
      </c>
    </row>
    <row r="42" spans="1:11" ht="15">
      <c r="A42" s="157"/>
      <c r="B42" s="158"/>
      <c r="C42" s="158"/>
      <c r="D42" s="158"/>
      <c r="E42" s="158"/>
      <c r="F42" s="158"/>
      <c r="G42" s="158"/>
      <c r="H42" s="158"/>
      <c r="I42" s="159"/>
    </row>
    <row r="43" spans="1:11" ht="15" customHeight="1">
      <c r="A43" s="145" t="s">
        <v>102</v>
      </c>
      <c r="B43" s="146"/>
      <c r="C43" s="146"/>
      <c r="D43" s="146"/>
      <c r="E43" s="146"/>
      <c r="F43" s="146"/>
      <c r="G43" s="146"/>
      <c r="H43" s="147"/>
      <c r="I43" s="51">
        <f>I41+I37+I33+I19+I14</f>
        <v>362582.17</v>
      </c>
    </row>
    <row r="44" spans="1:11" ht="14.25">
      <c r="A44" s="59"/>
      <c r="B44" s="60"/>
      <c r="C44" s="61"/>
      <c r="D44" s="61"/>
      <c r="E44" s="60"/>
      <c r="F44" s="60"/>
      <c r="G44" s="60"/>
      <c r="H44" s="60"/>
      <c r="I44" s="62"/>
    </row>
    <row r="45" spans="1:11" ht="31.5" customHeight="1">
      <c r="A45" s="59"/>
      <c r="B45" s="60"/>
      <c r="C45" s="61"/>
      <c r="D45" s="61"/>
      <c r="E45" s="60"/>
      <c r="F45" s="60"/>
      <c r="G45" s="60"/>
      <c r="H45" s="60"/>
      <c r="I45" s="62"/>
      <c r="K45" s="99" t="e">
        <f>#REF!-#REF!</f>
        <v>#REF!</v>
      </c>
    </row>
    <row r="46" spans="1:11" ht="14.25">
      <c r="A46" s="59"/>
      <c r="B46" s="60"/>
      <c r="C46" s="160" t="s">
        <v>103</v>
      </c>
      <c r="D46" s="160"/>
      <c r="E46" s="153" t="s">
        <v>104</v>
      </c>
      <c r="F46" s="153"/>
      <c r="G46" s="153"/>
      <c r="H46" s="153"/>
      <c r="I46" s="154"/>
    </row>
    <row r="47" spans="1:11" ht="14.25">
      <c r="A47" s="59"/>
      <c r="B47" s="60"/>
      <c r="C47" s="153" t="s">
        <v>105</v>
      </c>
      <c r="D47" s="153"/>
      <c r="E47" s="153" t="s">
        <v>106</v>
      </c>
      <c r="F47" s="153"/>
      <c r="G47" s="153"/>
      <c r="H47" s="153"/>
      <c r="I47" s="154"/>
    </row>
    <row r="48" spans="1:11" ht="29.25" customHeight="1">
      <c r="A48" s="63"/>
      <c r="B48" s="64"/>
      <c r="C48" s="155" t="s">
        <v>107</v>
      </c>
      <c r="D48" s="155"/>
      <c r="E48" s="155" t="s">
        <v>108</v>
      </c>
      <c r="F48" s="155"/>
      <c r="G48" s="155"/>
      <c r="H48" s="155"/>
      <c r="I48" s="156"/>
    </row>
  </sheetData>
  <mergeCells count="29">
    <mergeCell ref="C47:D47"/>
    <mergeCell ref="E47:I47"/>
    <mergeCell ref="C48:D48"/>
    <mergeCell ref="E48:I48"/>
    <mergeCell ref="A42:I42"/>
    <mergeCell ref="A43:H43"/>
    <mergeCell ref="C46:D46"/>
    <mergeCell ref="E46:I46"/>
    <mergeCell ref="A15:I15"/>
    <mergeCell ref="A41:H41"/>
    <mergeCell ref="A14:H14"/>
    <mergeCell ref="A7:E7"/>
    <mergeCell ref="F7:I7"/>
    <mergeCell ref="A8:E8"/>
    <mergeCell ref="A9:E9"/>
    <mergeCell ref="A10:E10"/>
    <mergeCell ref="F10:H10"/>
    <mergeCell ref="A19:H19"/>
    <mergeCell ref="A20:I20"/>
    <mergeCell ref="A33:H33"/>
    <mergeCell ref="A34:I34"/>
    <mergeCell ref="A37:H37"/>
    <mergeCell ref="A38:I38"/>
    <mergeCell ref="A6:G6"/>
    <mergeCell ref="A1:I1"/>
    <mergeCell ref="A2:I2"/>
    <mergeCell ref="A3:I3"/>
    <mergeCell ref="A4:I4"/>
    <mergeCell ref="A5:I5"/>
  </mergeCells>
  <pageMargins left="0.511811024" right="0.511811024" top="0.78740157499999996" bottom="0.78740157499999996" header="0.31496062000000002" footer="0.31496062000000002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view="pageBreakPreview" zoomScale="130" zoomScaleNormal="145" zoomScaleSheetLayoutView="130" workbookViewId="0">
      <selection activeCell="Q18" sqref="Q18"/>
    </sheetView>
  </sheetViews>
  <sheetFormatPr defaultRowHeight="12.75"/>
  <cols>
    <col min="1" max="1" width="12.33203125" customWidth="1"/>
    <col min="2" max="2" width="18.83203125" customWidth="1"/>
    <col min="3" max="3" width="18.6640625" customWidth="1"/>
    <col min="4" max="4" width="14.5" customWidth="1"/>
    <col min="5" max="5" width="11.33203125" customWidth="1"/>
    <col min="6" max="6" width="11" customWidth="1"/>
    <col min="7" max="7" width="10.83203125" customWidth="1"/>
    <col min="8" max="8" width="8.5" customWidth="1"/>
    <col min="9" max="9" width="11.33203125" customWidth="1"/>
    <col min="10" max="10" width="10.1640625" customWidth="1"/>
  </cols>
  <sheetData>
    <row r="1" spans="1:10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5"/>
    </row>
    <row r="2" spans="1:10">
      <c r="A2" s="1" t="s">
        <v>1</v>
      </c>
      <c r="B2" s="186" t="s">
        <v>202</v>
      </c>
      <c r="C2" s="187"/>
      <c r="D2" s="187"/>
      <c r="E2" s="187"/>
      <c r="F2" s="187"/>
      <c r="G2" s="187"/>
      <c r="H2" s="187"/>
      <c r="I2" s="187"/>
      <c r="J2" s="188"/>
    </row>
    <row r="3" spans="1:10">
      <c r="A3" s="1" t="s">
        <v>2</v>
      </c>
      <c r="B3" s="186" t="s">
        <v>203</v>
      </c>
      <c r="C3" s="187"/>
      <c r="D3" s="187"/>
      <c r="E3" s="187"/>
      <c r="F3" s="187"/>
      <c r="G3" s="187"/>
      <c r="H3" s="187"/>
      <c r="I3" s="187"/>
      <c r="J3" s="188"/>
    </row>
    <row r="4" spans="1:10">
      <c r="A4" s="189"/>
      <c r="B4" s="190"/>
      <c r="C4" s="190"/>
      <c r="D4" s="190"/>
      <c r="E4" s="190"/>
      <c r="F4" s="190"/>
      <c r="G4" s="190"/>
      <c r="H4" s="190"/>
      <c r="I4" s="190"/>
      <c r="J4" s="191"/>
    </row>
    <row r="5" spans="1:10">
      <c r="A5" s="2" t="str">
        <f>'PLANILHA ORÇAMENTÁRIA'!A12</f>
        <v>1.0</v>
      </c>
      <c r="B5" s="195" t="s">
        <v>4</v>
      </c>
      <c r="C5" s="196"/>
      <c r="D5" s="196"/>
      <c r="E5" s="196"/>
      <c r="F5" s="196"/>
      <c r="G5" s="196"/>
      <c r="H5" s="196"/>
      <c r="I5" s="196"/>
      <c r="J5" s="197"/>
    </row>
    <row r="6" spans="1:10">
      <c r="A6" s="180"/>
      <c r="B6" s="181"/>
      <c r="C6" s="181"/>
      <c r="D6" s="181"/>
      <c r="E6" s="181"/>
      <c r="F6" s="181"/>
      <c r="G6" s="181"/>
      <c r="H6" s="181"/>
      <c r="I6" s="181"/>
      <c r="J6" s="182"/>
    </row>
    <row r="7" spans="1:10">
      <c r="A7" s="3" t="s">
        <v>5</v>
      </c>
      <c r="B7" s="4" t="str">
        <f>'PLANILHA ORÇAMENTÁRIA'!A13</f>
        <v>1.1</v>
      </c>
      <c r="C7" s="164"/>
      <c r="D7" s="166" t="str">
        <f>'PLANILHA ORÇAMENTÁRIA'!D13</f>
        <v>FORNECIMENTO E INSTALAÇÃO DE PLACA DE OBRA COM CHAPA GALVANIZADA E ESTRUTURA DE MADEIRA. AF_03/2022_PS</v>
      </c>
      <c r="E7" s="167"/>
      <c r="F7" s="167"/>
      <c r="G7" s="167"/>
      <c r="H7" s="167"/>
      <c r="I7" s="167"/>
      <c r="J7" s="168"/>
    </row>
    <row r="8" spans="1:10" ht="34.5" customHeight="1">
      <c r="A8" s="3" t="s">
        <v>6</v>
      </c>
      <c r="B8" s="30">
        <f>'PLANILHA ORÇAMENTÁRIA'!C13</f>
        <v>103689</v>
      </c>
      <c r="C8" s="165"/>
      <c r="D8" s="169"/>
      <c r="E8" s="170"/>
      <c r="F8" s="170"/>
      <c r="G8" s="170"/>
      <c r="H8" s="170"/>
      <c r="I8" s="170"/>
      <c r="J8" s="171"/>
    </row>
    <row r="9" spans="1:10" ht="22.5">
      <c r="A9" s="172" t="s">
        <v>7</v>
      </c>
      <c r="B9" s="173"/>
      <c r="C9" s="6" t="s">
        <v>8</v>
      </c>
      <c r="D9" s="12" t="s">
        <v>73</v>
      </c>
      <c r="E9" s="12" t="s">
        <v>74</v>
      </c>
      <c r="F9" s="7"/>
      <c r="G9" s="7"/>
      <c r="H9" s="7"/>
      <c r="I9" s="6" t="s">
        <v>9</v>
      </c>
      <c r="J9" s="6" t="s">
        <v>10</v>
      </c>
    </row>
    <row r="10" spans="1:10">
      <c r="A10" s="198" t="s">
        <v>11</v>
      </c>
      <c r="B10" s="188"/>
      <c r="C10" s="7"/>
      <c r="D10" s="8">
        <v>3</v>
      </c>
      <c r="E10" s="8">
        <v>1.5</v>
      </c>
      <c r="F10" s="7"/>
      <c r="G10" s="7"/>
      <c r="H10" s="7"/>
      <c r="I10" s="8">
        <f>ROUND(D10*E10,2)</f>
        <v>4.5</v>
      </c>
      <c r="J10" s="7"/>
    </row>
    <row r="11" spans="1:10">
      <c r="A11" s="192" t="s">
        <v>12</v>
      </c>
      <c r="B11" s="193"/>
      <c r="C11" s="193"/>
      <c r="D11" s="193"/>
      <c r="E11" s="193"/>
      <c r="F11" s="193"/>
      <c r="G11" s="193"/>
      <c r="H11" s="194"/>
      <c r="I11" s="9">
        <f>SUM(I10)</f>
        <v>4.5</v>
      </c>
      <c r="J11" s="7"/>
    </row>
    <row r="12" spans="1:10">
      <c r="A12" s="180"/>
      <c r="B12" s="181"/>
      <c r="C12" s="181"/>
      <c r="D12" s="181"/>
      <c r="E12" s="181"/>
      <c r="F12" s="181"/>
      <c r="G12" s="181"/>
      <c r="H12" s="181"/>
      <c r="I12" s="181"/>
      <c r="J12" s="182"/>
    </row>
    <row r="13" spans="1:10">
      <c r="A13" s="2" t="str">
        <f>'PLANILHA ORÇAMENTÁRIA'!A16</f>
        <v>2.0</v>
      </c>
      <c r="B13" s="195" t="str">
        <f>'PLANILHA ORÇAMENTÁRIA'!D16</f>
        <v>TERRAPLANAGEM</v>
      </c>
      <c r="C13" s="196"/>
      <c r="D13" s="196"/>
      <c r="E13" s="196"/>
      <c r="F13" s="196"/>
      <c r="G13" s="196"/>
      <c r="H13" s="196"/>
      <c r="I13" s="196"/>
      <c r="J13" s="197"/>
    </row>
    <row r="14" spans="1:10">
      <c r="A14" s="180"/>
      <c r="B14" s="181"/>
      <c r="C14" s="181"/>
      <c r="D14" s="181"/>
      <c r="E14" s="181"/>
      <c r="F14" s="181"/>
      <c r="G14" s="181"/>
      <c r="H14" s="181"/>
      <c r="I14" s="181"/>
      <c r="J14" s="182"/>
    </row>
    <row r="15" spans="1:10" ht="12.75" customHeight="1">
      <c r="A15" s="3" t="s">
        <v>5</v>
      </c>
      <c r="B15" s="4" t="str">
        <f>'PLANILHA ORÇAMENTÁRIA'!A17</f>
        <v>2.1</v>
      </c>
      <c r="C15" s="164"/>
      <c r="D15" s="166" t="str">
        <f>'PLANILHA ORÇAMENTÁRIA'!D17</f>
        <v>ESCAVAÇÃO HORIZONTAL, INCLUINDO ESCARIFICAÇÃO, CARGA, DESCARGA E TRANSPORTE EM SOLO DE 2A CATEGORIA COM TRATOR DE ESTEIRAS (347HP/LÂMINA: 8,70M3) E CAMINHÃO BASCULANTE DE 10M3, DMT ATÉ 200M. AF_07/2020</v>
      </c>
      <c r="E15" s="167"/>
      <c r="F15" s="167"/>
      <c r="G15" s="167"/>
      <c r="H15" s="167"/>
      <c r="I15" s="167"/>
      <c r="J15" s="168"/>
    </row>
    <row r="16" spans="1:10">
      <c r="A16" s="3" t="s">
        <v>6</v>
      </c>
      <c r="B16" s="30">
        <f>'PLANILHA ORÇAMENTÁRIA'!C17</f>
        <v>101142</v>
      </c>
      <c r="C16" s="165"/>
      <c r="D16" s="169"/>
      <c r="E16" s="170"/>
      <c r="F16" s="170"/>
      <c r="G16" s="170"/>
      <c r="H16" s="170"/>
      <c r="I16" s="170"/>
      <c r="J16" s="171"/>
    </row>
    <row r="17" spans="1:10" ht="33.75">
      <c r="A17" s="199" t="s">
        <v>7</v>
      </c>
      <c r="B17" s="200"/>
      <c r="C17" s="12" t="s">
        <v>8</v>
      </c>
      <c r="D17" s="103" t="s">
        <v>146</v>
      </c>
      <c r="E17" s="106" t="s">
        <v>147</v>
      </c>
      <c r="F17" s="107" t="s">
        <v>148</v>
      </c>
      <c r="G17" s="107" t="s">
        <v>74</v>
      </c>
      <c r="H17" s="107" t="s">
        <v>149</v>
      </c>
      <c r="I17" s="12" t="s">
        <v>15</v>
      </c>
      <c r="J17" s="12" t="s">
        <v>10</v>
      </c>
    </row>
    <row r="18" spans="1:10" ht="33.75">
      <c r="A18" s="201" t="s">
        <v>133</v>
      </c>
      <c r="B18" s="202"/>
      <c r="C18" s="104" t="s">
        <v>134</v>
      </c>
      <c r="D18" s="105">
        <v>8.44</v>
      </c>
      <c r="E18" s="82">
        <v>8.5500000000000007</v>
      </c>
      <c r="F18" s="82">
        <f>ROUND(((D18+E18)/2),2)</f>
        <v>8.5</v>
      </c>
      <c r="G18" s="82">
        <v>10</v>
      </c>
      <c r="H18" s="82">
        <v>1.3</v>
      </c>
      <c r="I18" s="11">
        <f>ROUND(F18*G18*H18,2)</f>
        <v>110.5</v>
      </c>
      <c r="J18" s="10" t="s">
        <v>178</v>
      </c>
    </row>
    <row r="19" spans="1:10" ht="33.75">
      <c r="A19" s="201" t="s">
        <v>133</v>
      </c>
      <c r="B19" s="202"/>
      <c r="C19" s="104" t="s">
        <v>135</v>
      </c>
      <c r="D19" s="105">
        <v>8.5500000000000007</v>
      </c>
      <c r="E19" s="82">
        <v>9.17</v>
      </c>
      <c r="F19" s="82">
        <f t="shared" ref="F19:F29" si="0">ROUND(((D19+E19)/2),2)</f>
        <v>8.86</v>
      </c>
      <c r="G19" s="82">
        <v>10</v>
      </c>
      <c r="H19" s="82">
        <v>1.3</v>
      </c>
      <c r="I19" s="11">
        <f t="shared" ref="I19:I29" si="1">ROUND(F19*G19*H19,2)</f>
        <v>115.18</v>
      </c>
      <c r="J19" s="10" t="s">
        <v>178</v>
      </c>
    </row>
    <row r="20" spans="1:10" ht="33.75">
      <c r="A20" s="201" t="s">
        <v>133</v>
      </c>
      <c r="B20" s="202"/>
      <c r="C20" s="104" t="s">
        <v>136</v>
      </c>
      <c r="D20" s="105">
        <v>9.17</v>
      </c>
      <c r="E20" s="82">
        <v>10.62</v>
      </c>
      <c r="F20" s="82">
        <f t="shared" si="0"/>
        <v>9.9</v>
      </c>
      <c r="G20" s="82">
        <v>10</v>
      </c>
      <c r="H20" s="82">
        <v>1.3</v>
      </c>
      <c r="I20" s="11">
        <f t="shared" si="1"/>
        <v>128.69999999999999</v>
      </c>
      <c r="J20" s="10" t="s">
        <v>178</v>
      </c>
    </row>
    <row r="21" spans="1:10" ht="33.75">
      <c r="A21" s="201" t="s">
        <v>133</v>
      </c>
      <c r="B21" s="202"/>
      <c r="C21" s="104" t="s">
        <v>137</v>
      </c>
      <c r="D21" s="82">
        <v>10.62</v>
      </c>
      <c r="E21" s="82">
        <v>12.44</v>
      </c>
      <c r="F21" s="82">
        <f t="shared" si="0"/>
        <v>11.53</v>
      </c>
      <c r="G21" s="82">
        <v>10</v>
      </c>
      <c r="H21" s="82">
        <v>1.3</v>
      </c>
      <c r="I21" s="11">
        <f t="shared" si="1"/>
        <v>149.88999999999999</v>
      </c>
      <c r="J21" s="10" t="s">
        <v>178</v>
      </c>
    </row>
    <row r="22" spans="1:10" ht="33.75">
      <c r="A22" s="201" t="s">
        <v>133</v>
      </c>
      <c r="B22" s="202"/>
      <c r="C22" s="104" t="s">
        <v>138</v>
      </c>
      <c r="D22" s="82">
        <v>12.44</v>
      </c>
      <c r="E22" s="82">
        <v>14.41</v>
      </c>
      <c r="F22" s="82">
        <f t="shared" si="0"/>
        <v>13.43</v>
      </c>
      <c r="G22" s="82">
        <v>10</v>
      </c>
      <c r="H22" s="82">
        <v>1.3</v>
      </c>
      <c r="I22" s="11">
        <f t="shared" si="1"/>
        <v>174.59</v>
      </c>
      <c r="J22" s="10" t="s">
        <v>178</v>
      </c>
    </row>
    <row r="23" spans="1:10" ht="33.75">
      <c r="A23" s="201" t="s">
        <v>133</v>
      </c>
      <c r="B23" s="202"/>
      <c r="C23" s="104" t="s">
        <v>139</v>
      </c>
      <c r="D23" s="82">
        <v>14.41</v>
      </c>
      <c r="E23" s="82">
        <v>13.19</v>
      </c>
      <c r="F23" s="82">
        <f t="shared" si="0"/>
        <v>13.8</v>
      </c>
      <c r="G23" s="82">
        <v>10</v>
      </c>
      <c r="H23" s="82">
        <v>1.3</v>
      </c>
      <c r="I23" s="11">
        <f t="shared" si="1"/>
        <v>179.4</v>
      </c>
      <c r="J23" s="10" t="s">
        <v>178</v>
      </c>
    </row>
    <row r="24" spans="1:10" ht="33.75">
      <c r="A24" s="201" t="s">
        <v>133</v>
      </c>
      <c r="B24" s="202"/>
      <c r="C24" s="104" t="s">
        <v>140</v>
      </c>
      <c r="D24" s="82">
        <v>13.19</v>
      </c>
      <c r="E24" s="82">
        <v>13.63</v>
      </c>
      <c r="F24" s="82">
        <f t="shared" si="0"/>
        <v>13.41</v>
      </c>
      <c r="G24" s="82">
        <v>10</v>
      </c>
      <c r="H24" s="82">
        <v>1.3</v>
      </c>
      <c r="I24" s="11">
        <f t="shared" si="1"/>
        <v>174.33</v>
      </c>
      <c r="J24" s="10" t="s">
        <v>178</v>
      </c>
    </row>
    <row r="25" spans="1:10" ht="33.75">
      <c r="A25" s="201" t="s">
        <v>133</v>
      </c>
      <c r="B25" s="202"/>
      <c r="C25" s="104" t="s">
        <v>141</v>
      </c>
      <c r="D25" s="82">
        <v>13.63</v>
      </c>
      <c r="E25" s="82">
        <v>12.14</v>
      </c>
      <c r="F25" s="82">
        <f t="shared" si="0"/>
        <v>12.89</v>
      </c>
      <c r="G25" s="82">
        <v>10</v>
      </c>
      <c r="H25" s="82">
        <v>1.3</v>
      </c>
      <c r="I25" s="11">
        <f t="shared" si="1"/>
        <v>167.57</v>
      </c>
      <c r="J25" s="10" t="s">
        <v>178</v>
      </c>
    </row>
    <row r="26" spans="1:10" ht="33.75">
      <c r="A26" s="201" t="s">
        <v>133</v>
      </c>
      <c r="B26" s="202"/>
      <c r="C26" s="104" t="s">
        <v>142</v>
      </c>
      <c r="D26" s="82">
        <v>12.14</v>
      </c>
      <c r="E26" s="82">
        <v>12.45</v>
      </c>
      <c r="F26" s="82">
        <f t="shared" si="0"/>
        <v>12.3</v>
      </c>
      <c r="G26" s="82">
        <v>10</v>
      </c>
      <c r="H26" s="82">
        <v>1.3</v>
      </c>
      <c r="I26" s="11">
        <f t="shared" si="1"/>
        <v>159.9</v>
      </c>
      <c r="J26" s="10" t="s">
        <v>178</v>
      </c>
    </row>
    <row r="27" spans="1:10" ht="33.75">
      <c r="A27" s="201" t="s">
        <v>133</v>
      </c>
      <c r="B27" s="202"/>
      <c r="C27" s="104" t="s">
        <v>143</v>
      </c>
      <c r="D27" s="82">
        <v>12.45</v>
      </c>
      <c r="E27" s="82">
        <v>13.7</v>
      </c>
      <c r="F27" s="82">
        <f t="shared" si="0"/>
        <v>13.08</v>
      </c>
      <c r="G27" s="82">
        <v>10</v>
      </c>
      <c r="H27" s="82">
        <v>1.3</v>
      </c>
      <c r="I27" s="11">
        <f t="shared" si="1"/>
        <v>170.04</v>
      </c>
      <c r="J27" s="10" t="s">
        <v>178</v>
      </c>
    </row>
    <row r="28" spans="1:10" ht="33.75">
      <c r="A28" s="201" t="s">
        <v>133</v>
      </c>
      <c r="B28" s="202"/>
      <c r="C28" s="104" t="s">
        <v>144</v>
      </c>
      <c r="D28" s="82">
        <v>13.7</v>
      </c>
      <c r="E28" s="82">
        <v>31.05</v>
      </c>
      <c r="F28" s="82">
        <f t="shared" si="0"/>
        <v>22.38</v>
      </c>
      <c r="G28" s="82">
        <v>10</v>
      </c>
      <c r="H28" s="82">
        <v>1.3</v>
      </c>
      <c r="I28" s="11">
        <f t="shared" si="1"/>
        <v>290.94</v>
      </c>
      <c r="J28" s="10" t="s">
        <v>178</v>
      </c>
    </row>
    <row r="29" spans="1:10" ht="33.75">
      <c r="A29" s="201" t="s">
        <v>133</v>
      </c>
      <c r="B29" s="202"/>
      <c r="C29" s="104" t="s">
        <v>145</v>
      </c>
      <c r="D29" s="82">
        <v>31.05</v>
      </c>
      <c r="E29" s="82">
        <v>54.25</v>
      </c>
      <c r="F29" s="82">
        <f t="shared" si="0"/>
        <v>42.65</v>
      </c>
      <c r="G29" s="82">
        <v>10</v>
      </c>
      <c r="H29" s="82">
        <v>1.3</v>
      </c>
      <c r="I29" s="11">
        <f t="shared" si="1"/>
        <v>554.45000000000005</v>
      </c>
      <c r="J29" s="10" t="s">
        <v>178</v>
      </c>
    </row>
    <row r="30" spans="1:10">
      <c r="A30" s="192" t="s">
        <v>150</v>
      </c>
      <c r="B30" s="193"/>
      <c r="C30" s="193"/>
      <c r="D30" s="193"/>
      <c r="E30" s="204"/>
      <c r="F30" s="204"/>
      <c r="G30" s="204"/>
      <c r="H30" s="194"/>
      <c r="I30" s="9">
        <f>SUM(I18:I29)</f>
        <v>2375.4899999999998</v>
      </c>
      <c r="J30" s="7"/>
    </row>
    <row r="31" spans="1:10">
      <c r="A31" s="172"/>
      <c r="B31" s="203"/>
      <c r="C31" s="203"/>
      <c r="D31" s="203"/>
      <c r="E31" s="203"/>
      <c r="F31" s="203"/>
      <c r="G31" s="203"/>
      <c r="H31" s="203"/>
      <c r="I31" s="203"/>
      <c r="J31" s="173"/>
    </row>
    <row r="32" spans="1:10" ht="17.25" customHeight="1">
      <c r="A32" s="116" t="s">
        <v>5</v>
      </c>
      <c r="B32" s="111" t="str">
        <f>'PLANILHA ORÇAMENTÁRIA'!A18</f>
        <v>2.2</v>
      </c>
      <c r="C32" s="164"/>
      <c r="D32" s="166" t="str">
        <f>'PLANILHA ORÇAMENTÁRIA'!D18</f>
        <v>EXECUÇÃO E COMPACTAÇÃO DE CORPO DE ATERRO (95% DE ENERGIA DO PROCTOR NORMAL) COM SOLO PREDOMINANTEMENTE ARENOSO, EM CAMADAS COM ESPESSURA DE 20 CM - EXCLUSIVE ESCAVAÇÃO, CARGA E TRANSPORTE E SOLO. AF_09/2024</v>
      </c>
      <c r="E32" s="167"/>
      <c r="F32" s="167"/>
      <c r="G32" s="167"/>
      <c r="H32" s="167"/>
      <c r="I32" s="167"/>
      <c r="J32" s="168"/>
    </row>
    <row r="33" spans="1:10" ht="16.5" customHeight="1">
      <c r="A33" s="116" t="s">
        <v>6</v>
      </c>
      <c r="B33" s="31">
        <f>'PLANILHA ORÇAMENTÁRIA'!C18</f>
        <v>105564</v>
      </c>
      <c r="C33" s="165"/>
      <c r="D33" s="169"/>
      <c r="E33" s="170"/>
      <c r="F33" s="170"/>
      <c r="G33" s="170"/>
      <c r="H33" s="170"/>
      <c r="I33" s="170"/>
      <c r="J33" s="171"/>
    </row>
    <row r="34" spans="1:10" ht="33.75">
      <c r="A34" s="199" t="s">
        <v>7</v>
      </c>
      <c r="B34" s="200"/>
      <c r="C34" s="12" t="s">
        <v>8</v>
      </c>
      <c r="D34" s="110" t="s">
        <v>146</v>
      </c>
      <c r="E34" s="106" t="s">
        <v>147</v>
      </c>
      <c r="F34" s="107" t="s">
        <v>148</v>
      </c>
      <c r="G34" s="107" t="s">
        <v>74</v>
      </c>
      <c r="H34" s="107" t="s">
        <v>149</v>
      </c>
      <c r="I34" s="12" t="s">
        <v>15</v>
      </c>
      <c r="J34" s="12" t="s">
        <v>10</v>
      </c>
    </row>
    <row r="35" spans="1:10" ht="33.75">
      <c r="A35" s="201" t="s">
        <v>177</v>
      </c>
      <c r="B35" s="202"/>
      <c r="C35" s="104" t="s">
        <v>134</v>
      </c>
      <c r="D35" s="105">
        <v>22.67</v>
      </c>
      <c r="E35" s="82">
        <v>22.25</v>
      </c>
      <c r="F35" s="82">
        <f>ROUND(((D35+E35)/2),2)</f>
        <v>22.46</v>
      </c>
      <c r="G35" s="82">
        <v>10</v>
      </c>
      <c r="H35" s="82">
        <v>1.3</v>
      </c>
      <c r="I35" s="11">
        <f>ROUND(F35*G35*H35,2)</f>
        <v>291.98</v>
      </c>
      <c r="J35" s="10" t="s">
        <v>178</v>
      </c>
    </row>
    <row r="36" spans="1:10" ht="33.75">
      <c r="A36" s="201" t="s">
        <v>177</v>
      </c>
      <c r="B36" s="202"/>
      <c r="C36" s="104" t="s">
        <v>135</v>
      </c>
      <c r="D36" s="105">
        <v>22.25</v>
      </c>
      <c r="E36" s="82">
        <v>22.65</v>
      </c>
      <c r="F36" s="82">
        <f t="shared" ref="F36:F46" si="2">ROUND(((D36+E36)/2),2)</f>
        <v>22.45</v>
      </c>
      <c r="G36" s="82">
        <v>10</v>
      </c>
      <c r="H36" s="82">
        <v>1.3</v>
      </c>
      <c r="I36" s="11">
        <f t="shared" ref="I36:I46" si="3">ROUND(F36*G36*H36,2)</f>
        <v>291.85000000000002</v>
      </c>
      <c r="J36" s="10" t="s">
        <v>178</v>
      </c>
    </row>
    <row r="37" spans="1:10" ht="33.75">
      <c r="A37" s="201" t="s">
        <v>177</v>
      </c>
      <c r="B37" s="202"/>
      <c r="C37" s="104" t="s">
        <v>136</v>
      </c>
      <c r="D37" s="105">
        <v>22.65</v>
      </c>
      <c r="E37" s="82">
        <v>19.260000000000002</v>
      </c>
      <c r="F37" s="82">
        <f t="shared" si="2"/>
        <v>20.96</v>
      </c>
      <c r="G37" s="82">
        <v>10</v>
      </c>
      <c r="H37" s="82">
        <v>1.3</v>
      </c>
      <c r="I37" s="11">
        <f t="shared" si="3"/>
        <v>272.48</v>
      </c>
      <c r="J37" s="10" t="s">
        <v>178</v>
      </c>
    </row>
    <row r="38" spans="1:10" ht="33.75">
      <c r="A38" s="201" t="s">
        <v>177</v>
      </c>
      <c r="B38" s="202"/>
      <c r="C38" s="104" t="s">
        <v>137</v>
      </c>
      <c r="D38" s="82">
        <v>19.260000000000002</v>
      </c>
      <c r="E38" s="82">
        <v>17.07</v>
      </c>
      <c r="F38" s="82">
        <f t="shared" si="2"/>
        <v>18.170000000000002</v>
      </c>
      <c r="G38" s="82">
        <v>10</v>
      </c>
      <c r="H38" s="82">
        <v>1.3</v>
      </c>
      <c r="I38" s="11">
        <f t="shared" si="3"/>
        <v>236.21</v>
      </c>
      <c r="J38" s="10" t="s">
        <v>178</v>
      </c>
    </row>
    <row r="39" spans="1:10" ht="33.75">
      <c r="A39" s="201" t="s">
        <v>177</v>
      </c>
      <c r="B39" s="202"/>
      <c r="C39" s="104" t="s">
        <v>138</v>
      </c>
      <c r="D39" s="82">
        <v>17.07</v>
      </c>
      <c r="E39" s="82">
        <v>15.33</v>
      </c>
      <c r="F39" s="82">
        <f t="shared" si="2"/>
        <v>16.2</v>
      </c>
      <c r="G39" s="82">
        <v>10</v>
      </c>
      <c r="H39" s="82">
        <v>1.3</v>
      </c>
      <c r="I39" s="11">
        <f t="shared" si="3"/>
        <v>210.6</v>
      </c>
      <c r="J39" s="10" t="s">
        <v>178</v>
      </c>
    </row>
    <row r="40" spans="1:10" ht="33.75">
      <c r="A40" s="201" t="s">
        <v>177</v>
      </c>
      <c r="B40" s="202"/>
      <c r="C40" s="104" t="s">
        <v>139</v>
      </c>
      <c r="D40" s="82">
        <v>15.33</v>
      </c>
      <c r="E40" s="82">
        <v>13.78</v>
      </c>
      <c r="F40" s="82">
        <f t="shared" si="2"/>
        <v>14.56</v>
      </c>
      <c r="G40" s="82">
        <v>10</v>
      </c>
      <c r="H40" s="82">
        <v>1.3</v>
      </c>
      <c r="I40" s="11">
        <f t="shared" si="3"/>
        <v>189.28</v>
      </c>
      <c r="J40" s="10" t="s">
        <v>178</v>
      </c>
    </row>
    <row r="41" spans="1:10" ht="33.75">
      <c r="A41" s="201" t="s">
        <v>177</v>
      </c>
      <c r="B41" s="202"/>
      <c r="C41" s="104" t="s">
        <v>140</v>
      </c>
      <c r="D41" s="82">
        <v>13.78</v>
      </c>
      <c r="E41" s="82">
        <v>12.69</v>
      </c>
      <c r="F41" s="82">
        <f t="shared" si="2"/>
        <v>13.24</v>
      </c>
      <c r="G41" s="82">
        <v>10</v>
      </c>
      <c r="H41" s="82">
        <v>1.3</v>
      </c>
      <c r="I41" s="11">
        <f t="shared" si="3"/>
        <v>172.12</v>
      </c>
      <c r="J41" s="10" t="s">
        <v>178</v>
      </c>
    </row>
    <row r="42" spans="1:10" ht="33.75">
      <c r="A42" s="201" t="s">
        <v>177</v>
      </c>
      <c r="B42" s="202"/>
      <c r="C42" s="104" t="s">
        <v>141</v>
      </c>
      <c r="D42" s="82">
        <v>12.69</v>
      </c>
      <c r="E42" s="82">
        <v>13.75</v>
      </c>
      <c r="F42" s="82">
        <f t="shared" si="2"/>
        <v>13.22</v>
      </c>
      <c r="G42" s="82">
        <v>10</v>
      </c>
      <c r="H42" s="82">
        <v>1.3</v>
      </c>
      <c r="I42" s="11">
        <f t="shared" si="3"/>
        <v>171.86</v>
      </c>
      <c r="J42" s="10" t="s">
        <v>178</v>
      </c>
    </row>
    <row r="43" spans="1:10" ht="33.75">
      <c r="A43" s="201" t="s">
        <v>177</v>
      </c>
      <c r="B43" s="202"/>
      <c r="C43" s="104" t="s">
        <v>142</v>
      </c>
      <c r="D43" s="82">
        <v>13.75</v>
      </c>
      <c r="E43" s="82">
        <v>13.57</v>
      </c>
      <c r="F43" s="82">
        <f t="shared" si="2"/>
        <v>13.66</v>
      </c>
      <c r="G43" s="82">
        <v>10</v>
      </c>
      <c r="H43" s="82">
        <v>1.3</v>
      </c>
      <c r="I43" s="11">
        <f t="shared" si="3"/>
        <v>177.58</v>
      </c>
      <c r="J43" s="10" t="s">
        <v>178</v>
      </c>
    </row>
    <row r="44" spans="1:10" ht="33.75">
      <c r="A44" s="201" t="s">
        <v>177</v>
      </c>
      <c r="B44" s="202"/>
      <c r="C44" s="104" t="s">
        <v>143</v>
      </c>
      <c r="D44" s="82">
        <v>13.57</v>
      </c>
      <c r="E44" s="82">
        <v>12.24</v>
      </c>
      <c r="F44" s="82">
        <f t="shared" si="2"/>
        <v>12.91</v>
      </c>
      <c r="G44" s="82">
        <v>10</v>
      </c>
      <c r="H44" s="82">
        <v>1.3</v>
      </c>
      <c r="I44" s="11">
        <f t="shared" si="3"/>
        <v>167.83</v>
      </c>
      <c r="J44" s="10" t="s">
        <v>178</v>
      </c>
    </row>
    <row r="45" spans="1:10" ht="33.75">
      <c r="A45" s="201" t="s">
        <v>177</v>
      </c>
      <c r="B45" s="202"/>
      <c r="C45" s="104" t="s">
        <v>144</v>
      </c>
      <c r="D45" s="82">
        <v>12.24</v>
      </c>
      <c r="E45" s="82">
        <v>11.04</v>
      </c>
      <c r="F45" s="82">
        <f t="shared" si="2"/>
        <v>11.64</v>
      </c>
      <c r="G45" s="82">
        <v>10</v>
      </c>
      <c r="H45" s="82">
        <v>1.3</v>
      </c>
      <c r="I45" s="11">
        <f t="shared" si="3"/>
        <v>151.32</v>
      </c>
      <c r="J45" s="10" t="s">
        <v>178</v>
      </c>
    </row>
    <row r="46" spans="1:10" ht="33.75">
      <c r="A46" s="201" t="s">
        <v>177</v>
      </c>
      <c r="B46" s="202"/>
      <c r="C46" s="104" t="s">
        <v>145</v>
      </c>
      <c r="D46" s="82">
        <v>11.04</v>
      </c>
      <c r="E46" s="82">
        <v>13.89</v>
      </c>
      <c r="F46" s="82">
        <f t="shared" si="2"/>
        <v>12.47</v>
      </c>
      <c r="G46" s="82">
        <v>10</v>
      </c>
      <c r="H46" s="82">
        <v>1.3</v>
      </c>
      <c r="I46" s="11">
        <f t="shared" si="3"/>
        <v>162.11000000000001</v>
      </c>
      <c r="J46" s="10" t="s">
        <v>178</v>
      </c>
    </row>
    <row r="47" spans="1:10">
      <c r="A47" s="192" t="s">
        <v>152</v>
      </c>
      <c r="B47" s="193"/>
      <c r="C47" s="193"/>
      <c r="D47" s="193"/>
      <c r="E47" s="204"/>
      <c r="F47" s="204"/>
      <c r="G47" s="204"/>
      <c r="H47" s="194"/>
      <c r="I47" s="9">
        <f>SUM(I35:I46)</f>
        <v>2495.2200000000003</v>
      </c>
      <c r="J47" s="7"/>
    </row>
    <row r="48" spans="1:10">
      <c r="A48" s="180"/>
      <c r="B48" s="181"/>
      <c r="C48" s="181"/>
      <c r="D48" s="181"/>
      <c r="E48" s="181"/>
      <c r="F48" s="181"/>
      <c r="G48" s="181"/>
      <c r="H48" s="181"/>
      <c r="I48" s="181"/>
      <c r="J48" s="182"/>
    </row>
    <row r="49" spans="1:10">
      <c r="A49" s="3" t="s">
        <v>5</v>
      </c>
      <c r="B49" s="4" t="str">
        <f>B32</f>
        <v>2.2</v>
      </c>
      <c r="C49" s="164"/>
      <c r="D49" s="166" t="str">
        <f>D32</f>
        <v>EXECUÇÃO E COMPACTAÇÃO DE CORPO DE ATERRO (95% DE ENERGIA DO PROCTOR NORMAL) COM SOLO PREDOMINANTEMENTE ARENOSO, EM CAMADAS COM ESPESSURA DE 20 CM - EXCLUSIVE ESCAVAÇÃO, CARGA E TRANSPORTE E SOLO. AF_09/2024</v>
      </c>
      <c r="E49" s="167"/>
      <c r="F49" s="167"/>
      <c r="G49" s="167"/>
      <c r="H49" s="167"/>
      <c r="I49" s="167"/>
      <c r="J49" s="168"/>
    </row>
    <row r="50" spans="1:10">
      <c r="A50" s="3" t="s">
        <v>6</v>
      </c>
      <c r="B50" s="30">
        <f>B33</f>
        <v>105564</v>
      </c>
      <c r="C50" s="165"/>
      <c r="D50" s="169"/>
      <c r="E50" s="170"/>
      <c r="F50" s="170"/>
      <c r="G50" s="170"/>
      <c r="H50" s="170"/>
      <c r="I50" s="170"/>
      <c r="J50" s="171"/>
    </row>
    <row r="51" spans="1:10" ht="33.75">
      <c r="A51" s="199" t="s">
        <v>7</v>
      </c>
      <c r="B51" s="200"/>
      <c r="C51" s="12" t="s">
        <v>8</v>
      </c>
      <c r="D51" s="108" t="s">
        <v>146</v>
      </c>
      <c r="E51" s="106" t="s">
        <v>147</v>
      </c>
      <c r="F51" s="107" t="s">
        <v>148</v>
      </c>
      <c r="G51" s="107" t="s">
        <v>74</v>
      </c>
      <c r="H51" s="107" t="s">
        <v>149</v>
      </c>
      <c r="I51" s="12" t="s">
        <v>15</v>
      </c>
      <c r="J51" s="12" t="s">
        <v>10</v>
      </c>
    </row>
    <row r="52" spans="1:10">
      <c r="A52" s="186" t="s">
        <v>151</v>
      </c>
      <c r="B52" s="188"/>
      <c r="C52" s="104" t="s">
        <v>134</v>
      </c>
      <c r="D52" s="105">
        <v>3.13</v>
      </c>
      <c r="E52" s="82">
        <v>2.99</v>
      </c>
      <c r="F52" s="82">
        <f>ROUND(((D52+E52)/2),2)</f>
        <v>3.06</v>
      </c>
      <c r="G52" s="82">
        <v>10</v>
      </c>
      <c r="H52" s="82">
        <v>1.3</v>
      </c>
      <c r="I52" s="11">
        <f>ROUND(F52*G52*H52,2)</f>
        <v>39.78</v>
      </c>
      <c r="J52" s="10"/>
    </row>
    <row r="53" spans="1:10" ht="12.75" customHeight="1">
      <c r="A53" s="186" t="s">
        <v>151</v>
      </c>
      <c r="B53" s="188"/>
      <c r="C53" s="104" t="s">
        <v>135</v>
      </c>
      <c r="D53" s="105">
        <v>2.99</v>
      </c>
      <c r="E53" s="82">
        <v>2.93</v>
      </c>
      <c r="F53" s="82">
        <f t="shared" ref="F53:F63" si="4">ROUND(((D53+E53)/2),2)</f>
        <v>2.96</v>
      </c>
      <c r="G53" s="82">
        <v>10</v>
      </c>
      <c r="H53" s="82">
        <v>1.3</v>
      </c>
      <c r="I53" s="11">
        <f t="shared" ref="I53:I63" si="5">ROUND(F53*G53*H53,2)</f>
        <v>38.479999999999997</v>
      </c>
      <c r="J53" s="7"/>
    </row>
    <row r="54" spans="1:10" ht="12.75" customHeight="1">
      <c r="A54" s="186" t="s">
        <v>151</v>
      </c>
      <c r="B54" s="188"/>
      <c r="C54" s="104" t="s">
        <v>136</v>
      </c>
      <c r="D54" s="105">
        <v>2.83</v>
      </c>
      <c r="E54" s="82">
        <v>2.5</v>
      </c>
      <c r="F54" s="82">
        <f t="shared" si="4"/>
        <v>2.67</v>
      </c>
      <c r="G54" s="82">
        <v>10</v>
      </c>
      <c r="H54" s="82">
        <v>1.3</v>
      </c>
      <c r="I54" s="11">
        <f t="shared" si="5"/>
        <v>34.71</v>
      </c>
      <c r="J54" s="10"/>
    </row>
    <row r="55" spans="1:10" ht="12.75" customHeight="1">
      <c r="A55" s="186" t="s">
        <v>151</v>
      </c>
      <c r="B55" s="188"/>
      <c r="C55" s="104" t="s">
        <v>137</v>
      </c>
      <c r="D55" s="82">
        <v>2.5</v>
      </c>
      <c r="E55" s="82">
        <v>2.19</v>
      </c>
      <c r="F55" s="82">
        <f t="shared" si="4"/>
        <v>2.35</v>
      </c>
      <c r="G55" s="82">
        <v>10</v>
      </c>
      <c r="H55" s="82">
        <v>1.3</v>
      </c>
      <c r="I55" s="11">
        <f t="shared" si="5"/>
        <v>30.55</v>
      </c>
      <c r="J55" s="10"/>
    </row>
    <row r="56" spans="1:10" ht="12.75" customHeight="1">
      <c r="A56" s="186" t="s">
        <v>151</v>
      </c>
      <c r="B56" s="188"/>
      <c r="C56" s="104" t="s">
        <v>138</v>
      </c>
      <c r="D56" s="82">
        <v>2.19</v>
      </c>
      <c r="E56" s="82">
        <v>1.95</v>
      </c>
      <c r="F56" s="82">
        <f t="shared" si="4"/>
        <v>2.0699999999999998</v>
      </c>
      <c r="G56" s="82">
        <v>10</v>
      </c>
      <c r="H56" s="82">
        <v>1.3</v>
      </c>
      <c r="I56" s="11">
        <f t="shared" si="5"/>
        <v>26.91</v>
      </c>
      <c r="J56" s="10"/>
    </row>
    <row r="57" spans="1:10" ht="12.75" customHeight="1">
      <c r="A57" s="186" t="s">
        <v>151</v>
      </c>
      <c r="B57" s="188"/>
      <c r="C57" s="104" t="s">
        <v>139</v>
      </c>
      <c r="D57" s="82">
        <v>1.95</v>
      </c>
      <c r="E57" s="82">
        <v>1.72</v>
      </c>
      <c r="F57" s="82">
        <f t="shared" si="4"/>
        <v>1.84</v>
      </c>
      <c r="G57" s="82">
        <v>10</v>
      </c>
      <c r="H57" s="82">
        <v>1.3</v>
      </c>
      <c r="I57" s="11">
        <f t="shared" si="5"/>
        <v>23.92</v>
      </c>
      <c r="J57" s="10"/>
    </row>
    <row r="58" spans="1:10" ht="12.75" customHeight="1">
      <c r="A58" s="186" t="s">
        <v>151</v>
      </c>
      <c r="B58" s="188"/>
      <c r="C58" s="104" t="s">
        <v>140</v>
      </c>
      <c r="D58" s="82">
        <v>1.72</v>
      </c>
      <c r="E58" s="82">
        <v>1.39</v>
      </c>
      <c r="F58" s="82">
        <f t="shared" si="4"/>
        <v>1.56</v>
      </c>
      <c r="G58" s="82">
        <v>10</v>
      </c>
      <c r="H58" s="82">
        <v>1.3</v>
      </c>
      <c r="I58" s="11">
        <f t="shared" si="5"/>
        <v>20.28</v>
      </c>
      <c r="J58" s="10"/>
    </row>
    <row r="59" spans="1:10" ht="12.75" customHeight="1">
      <c r="A59" s="186" t="s">
        <v>151</v>
      </c>
      <c r="B59" s="188"/>
      <c r="C59" s="104" t="s">
        <v>141</v>
      </c>
      <c r="D59" s="82">
        <v>1.39</v>
      </c>
      <c r="E59" s="82">
        <v>1.27</v>
      </c>
      <c r="F59" s="82">
        <f t="shared" si="4"/>
        <v>1.33</v>
      </c>
      <c r="G59" s="82">
        <v>10</v>
      </c>
      <c r="H59" s="82">
        <v>1.3</v>
      </c>
      <c r="I59" s="11">
        <f t="shared" si="5"/>
        <v>17.29</v>
      </c>
      <c r="J59" s="10"/>
    </row>
    <row r="60" spans="1:10" ht="12.75" customHeight="1">
      <c r="A60" s="186" t="s">
        <v>151</v>
      </c>
      <c r="B60" s="188"/>
      <c r="C60" s="104" t="s">
        <v>142</v>
      </c>
      <c r="D60" s="82">
        <v>1.27</v>
      </c>
      <c r="E60" s="82">
        <v>1.33</v>
      </c>
      <c r="F60" s="82">
        <f t="shared" si="4"/>
        <v>1.3</v>
      </c>
      <c r="G60" s="82">
        <v>10</v>
      </c>
      <c r="H60" s="82">
        <v>1.3</v>
      </c>
      <c r="I60" s="11">
        <f t="shared" si="5"/>
        <v>16.899999999999999</v>
      </c>
      <c r="J60" s="10"/>
    </row>
    <row r="61" spans="1:10" ht="12.75" customHeight="1">
      <c r="A61" s="186" t="s">
        <v>151</v>
      </c>
      <c r="B61" s="188"/>
      <c r="C61" s="104" t="s">
        <v>143</v>
      </c>
      <c r="D61" s="82">
        <v>1.33</v>
      </c>
      <c r="E61" s="82">
        <v>1.72</v>
      </c>
      <c r="F61" s="82">
        <f t="shared" si="4"/>
        <v>1.53</v>
      </c>
      <c r="G61" s="82">
        <v>10</v>
      </c>
      <c r="H61" s="82">
        <v>1.3</v>
      </c>
      <c r="I61" s="11">
        <f t="shared" si="5"/>
        <v>19.89</v>
      </c>
      <c r="J61" s="10"/>
    </row>
    <row r="62" spans="1:10" ht="12.75" customHeight="1">
      <c r="A62" s="186" t="s">
        <v>151</v>
      </c>
      <c r="B62" s="188"/>
      <c r="C62" s="104" t="s">
        <v>144</v>
      </c>
      <c r="D62" s="82">
        <v>1.72</v>
      </c>
      <c r="E62" s="82">
        <v>1.06</v>
      </c>
      <c r="F62" s="82">
        <f t="shared" si="4"/>
        <v>1.39</v>
      </c>
      <c r="G62" s="82">
        <v>10</v>
      </c>
      <c r="H62" s="82">
        <v>1.3</v>
      </c>
      <c r="I62" s="11">
        <f t="shared" si="5"/>
        <v>18.07</v>
      </c>
      <c r="J62" s="10"/>
    </row>
    <row r="63" spans="1:10" ht="12.75" customHeight="1">
      <c r="A63" s="186" t="s">
        <v>151</v>
      </c>
      <c r="B63" s="188"/>
      <c r="C63" s="104" t="s">
        <v>145</v>
      </c>
      <c r="D63" s="82">
        <v>1.06</v>
      </c>
      <c r="E63" s="82">
        <v>2.31</v>
      </c>
      <c r="F63" s="82">
        <f t="shared" si="4"/>
        <v>1.69</v>
      </c>
      <c r="G63" s="82">
        <v>10</v>
      </c>
      <c r="H63" s="82">
        <v>1.3</v>
      </c>
      <c r="I63" s="11">
        <f t="shared" si="5"/>
        <v>21.97</v>
      </c>
      <c r="J63" s="10"/>
    </row>
    <row r="64" spans="1:10">
      <c r="A64" s="192" t="s">
        <v>153</v>
      </c>
      <c r="B64" s="193"/>
      <c r="C64" s="193"/>
      <c r="D64" s="193"/>
      <c r="E64" s="204"/>
      <c r="F64" s="204"/>
      <c r="G64" s="204"/>
      <c r="H64" s="194"/>
      <c r="I64" s="9">
        <f>SUM(I52:I63)</f>
        <v>308.75</v>
      </c>
      <c r="J64" s="7"/>
    </row>
    <row r="65" spans="1:10">
      <c r="A65" s="172"/>
      <c r="B65" s="203"/>
      <c r="C65" s="203"/>
      <c r="D65" s="203"/>
      <c r="E65" s="203"/>
      <c r="F65" s="203"/>
      <c r="G65" s="203"/>
      <c r="H65" s="203"/>
      <c r="I65" s="203"/>
      <c r="J65" s="173"/>
    </row>
    <row r="66" spans="1:10">
      <c r="A66" s="2" t="str">
        <f>'PLANILHA ORÇAMENTÁRIA'!A21</f>
        <v>3.0</v>
      </c>
      <c r="B66" s="195" t="str">
        <f>'PLANILHA ORÇAMENTÁRIA'!D21</f>
        <v>FUNDAÇÃO</v>
      </c>
      <c r="C66" s="196"/>
      <c r="D66" s="196"/>
      <c r="E66" s="196"/>
      <c r="F66" s="196"/>
      <c r="G66" s="196"/>
      <c r="H66" s="196"/>
      <c r="I66" s="196"/>
      <c r="J66" s="197"/>
    </row>
    <row r="67" spans="1:10">
      <c r="A67" s="172"/>
      <c r="B67" s="203"/>
      <c r="C67" s="203"/>
      <c r="D67" s="203"/>
      <c r="E67" s="203"/>
      <c r="F67" s="203"/>
      <c r="G67" s="203"/>
      <c r="H67" s="203"/>
      <c r="I67" s="203"/>
      <c r="J67" s="173"/>
    </row>
    <row r="68" spans="1:10">
      <c r="A68" s="3" t="s">
        <v>5</v>
      </c>
      <c r="B68" s="4" t="str">
        <f>'PLANILHA ORÇAMENTÁRIA'!A22</f>
        <v>3.1</v>
      </c>
      <c r="C68" s="164"/>
      <c r="D68" s="166" t="str">
        <f>'PLANILHA ORÇAMENTÁRIA'!D22</f>
        <v>ESCAVAÇÃO MANUAL PARA BLOCO DE COROAMENTO OU SAPATA (SEM ESCAVAÇÃO PARA COLOCAÇÃO DE FÔRMAS). AF_01/2024</v>
      </c>
      <c r="E68" s="167"/>
      <c r="F68" s="167"/>
      <c r="G68" s="167"/>
      <c r="H68" s="167"/>
      <c r="I68" s="167"/>
      <c r="J68" s="168"/>
    </row>
    <row r="69" spans="1:10">
      <c r="A69" s="3" t="s">
        <v>6</v>
      </c>
      <c r="B69" s="30">
        <f>'PLANILHA ORÇAMENTÁRIA'!C22</f>
        <v>96526</v>
      </c>
      <c r="C69" s="165"/>
      <c r="D69" s="169"/>
      <c r="E69" s="170"/>
      <c r="F69" s="170"/>
      <c r="G69" s="170"/>
      <c r="H69" s="170"/>
      <c r="I69" s="170"/>
      <c r="J69" s="171"/>
    </row>
    <row r="70" spans="1:10" ht="22.5">
      <c r="A70" s="199" t="s">
        <v>7</v>
      </c>
      <c r="B70" s="200"/>
      <c r="C70" s="12" t="s">
        <v>8</v>
      </c>
      <c r="D70" s="12" t="s">
        <v>73</v>
      </c>
      <c r="E70" s="12" t="s">
        <v>74</v>
      </c>
      <c r="F70" s="12" t="s">
        <v>14</v>
      </c>
      <c r="G70" s="12" t="s">
        <v>16</v>
      </c>
      <c r="H70" s="10"/>
      <c r="I70" s="12" t="s">
        <v>15</v>
      </c>
      <c r="J70" s="12" t="s">
        <v>10</v>
      </c>
    </row>
    <row r="71" spans="1:10" ht="22.5">
      <c r="A71" s="201" t="s">
        <v>228</v>
      </c>
      <c r="B71" s="202"/>
      <c r="C71" s="104" t="s">
        <v>154</v>
      </c>
      <c r="D71" s="11">
        <v>0.5</v>
      </c>
      <c r="E71" s="11">
        <v>0.5</v>
      </c>
      <c r="F71" s="11">
        <v>1</v>
      </c>
      <c r="G71" s="11">
        <v>136</v>
      </c>
      <c r="H71" s="10"/>
      <c r="I71" s="11">
        <f>ROUND(D71*E71*F71*G71,2)</f>
        <v>34</v>
      </c>
      <c r="J71" s="10"/>
    </row>
    <row r="72" spans="1:10" ht="22.5">
      <c r="A72" s="205" t="s">
        <v>227</v>
      </c>
      <c r="B72" s="206"/>
      <c r="C72" s="104" t="s">
        <v>155</v>
      </c>
      <c r="D72" s="8">
        <v>38.1</v>
      </c>
      <c r="E72" s="8">
        <v>0.14000000000000001</v>
      </c>
      <c r="F72" s="8">
        <v>0.3</v>
      </c>
      <c r="G72" s="8">
        <v>4</v>
      </c>
      <c r="H72" s="10"/>
      <c r="I72" s="11">
        <f>ROUND(D72*E72*F72*G72,2)</f>
        <v>6.4</v>
      </c>
      <c r="J72" s="10"/>
    </row>
    <row r="73" spans="1:10" ht="22.5">
      <c r="A73" s="205" t="s">
        <v>229</v>
      </c>
      <c r="B73" s="210"/>
      <c r="C73" s="104" t="s">
        <v>155</v>
      </c>
      <c r="D73" s="8">
        <v>58.3</v>
      </c>
      <c r="E73" s="8">
        <v>0.14000000000000001</v>
      </c>
      <c r="F73" s="8">
        <v>0.3</v>
      </c>
      <c r="G73" s="8">
        <v>2</v>
      </c>
      <c r="H73" s="10"/>
      <c r="I73" s="11">
        <f>ROUND(D73*E73*F73*G73,2)</f>
        <v>4.9000000000000004</v>
      </c>
      <c r="J73" s="10"/>
    </row>
    <row r="74" spans="1:10">
      <c r="A74" s="192" t="s">
        <v>188</v>
      </c>
      <c r="B74" s="193"/>
      <c r="C74" s="193"/>
      <c r="D74" s="193"/>
      <c r="E74" s="193"/>
      <c r="F74" s="193"/>
      <c r="G74" s="193"/>
      <c r="H74" s="194"/>
      <c r="I74" s="9">
        <f>SUM(I71:I73)</f>
        <v>45.3</v>
      </c>
      <c r="J74" s="7"/>
    </row>
    <row r="75" spans="1:10">
      <c r="A75" s="207"/>
      <c r="B75" s="208"/>
      <c r="C75" s="208"/>
      <c r="D75" s="208"/>
      <c r="E75" s="208"/>
      <c r="F75" s="208"/>
      <c r="G75" s="208"/>
      <c r="H75" s="208"/>
      <c r="I75" s="208"/>
      <c r="J75" s="209"/>
    </row>
    <row r="76" spans="1:10">
      <c r="A76" s="3" t="s">
        <v>5</v>
      </c>
      <c r="B76" s="4" t="str">
        <f>'PLANILHA ORÇAMENTÁRIA'!A23</f>
        <v>3.2</v>
      </c>
      <c r="C76" s="164"/>
      <c r="D76" s="166" t="str">
        <f>'PLANILHA ORÇAMENTÁRIA'!D23</f>
        <v>PREPARO DE FUNDO DE VALA COM LARGURA MENOR QUE 1,5 M (ACERTO DO SOLO NATURAL). AF_08/2020</v>
      </c>
      <c r="E76" s="167"/>
      <c r="F76" s="167"/>
      <c r="G76" s="167"/>
      <c r="H76" s="167"/>
      <c r="I76" s="167"/>
      <c r="J76" s="168"/>
    </row>
    <row r="77" spans="1:10">
      <c r="A77" s="3" t="s">
        <v>6</v>
      </c>
      <c r="B77" s="30">
        <f>'PLANILHA ORÇAMENTÁRIA'!C23</f>
        <v>101616</v>
      </c>
      <c r="C77" s="165"/>
      <c r="D77" s="169"/>
      <c r="E77" s="170"/>
      <c r="F77" s="170"/>
      <c r="G77" s="170"/>
      <c r="H77" s="170"/>
      <c r="I77" s="170"/>
      <c r="J77" s="171"/>
    </row>
    <row r="78" spans="1:10" ht="22.5">
      <c r="A78" s="199" t="s">
        <v>7</v>
      </c>
      <c r="B78" s="200"/>
      <c r="C78" s="12" t="s">
        <v>8</v>
      </c>
      <c r="D78" s="12" t="s">
        <v>73</v>
      </c>
      <c r="E78" s="12" t="s">
        <v>74</v>
      </c>
      <c r="F78" s="12" t="s">
        <v>16</v>
      </c>
      <c r="G78" s="10"/>
      <c r="H78" s="10"/>
      <c r="I78" s="12" t="s">
        <v>9</v>
      </c>
      <c r="J78" s="12" t="s">
        <v>10</v>
      </c>
    </row>
    <row r="79" spans="1:10" ht="22.5" customHeight="1">
      <c r="A79" s="201" t="s">
        <v>228</v>
      </c>
      <c r="B79" s="202"/>
      <c r="C79" s="104" t="s">
        <v>154</v>
      </c>
      <c r="D79" s="11">
        <v>0.5</v>
      </c>
      <c r="E79" s="11">
        <v>0.5</v>
      </c>
      <c r="F79" s="11">
        <v>136</v>
      </c>
      <c r="G79" s="10"/>
      <c r="H79" s="10"/>
      <c r="I79" s="11">
        <f>ROUND(D79*E79*F79,2)</f>
        <v>34</v>
      </c>
      <c r="J79" s="10"/>
    </row>
    <row r="80" spans="1:10" ht="22.5" customHeight="1">
      <c r="A80" s="205" t="s">
        <v>227</v>
      </c>
      <c r="B80" s="206"/>
      <c r="C80" s="104" t="s">
        <v>155</v>
      </c>
      <c r="D80" s="8">
        <v>38.1</v>
      </c>
      <c r="E80" s="8">
        <v>0.14000000000000001</v>
      </c>
      <c r="F80" s="8">
        <v>4</v>
      </c>
      <c r="G80" s="10"/>
      <c r="H80" s="10"/>
      <c r="I80" s="11">
        <f>ROUND(D80*E80*F80,2)</f>
        <v>21.34</v>
      </c>
      <c r="J80" s="10"/>
    </row>
    <row r="81" spans="1:10" ht="22.5" customHeight="1">
      <c r="A81" s="205" t="s">
        <v>229</v>
      </c>
      <c r="B81" s="210"/>
      <c r="C81" s="104" t="s">
        <v>155</v>
      </c>
      <c r="D81" s="8">
        <v>58.3</v>
      </c>
      <c r="E81" s="8">
        <v>0.14000000000000001</v>
      </c>
      <c r="F81" s="8">
        <v>2</v>
      </c>
      <c r="G81" s="10"/>
      <c r="H81" s="10"/>
      <c r="I81" s="11">
        <f>ROUND(D81*E81*F81,2)</f>
        <v>16.32</v>
      </c>
      <c r="J81" s="10"/>
    </row>
    <row r="82" spans="1:10">
      <c r="A82" s="192" t="s">
        <v>187</v>
      </c>
      <c r="B82" s="193"/>
      <c r="C82" s="193"/>
      <c r="D82" s="193"/>
      <c r="E82" s="193"/>
      <c r="F82" s="193"/>
      <c r="G82" s="193"/>
      <c r="H82" s="194"/>
      <c r="I82" s="9">
        <f>SUM(I79:I81)</f>
        <v>71.66</v>
      </c>
      <c r="J82" s="7"/>
    </row>
    <row r="83" spans="1:10">
      <c r="A83" s="180"/>
      <c r="B83" s="181"/>
      <c r="C83" s="181"/>
      <c r="D83" s="181"/>
      <c r="E83" s="181"/>
      <c r="F83" s="181"/>
      <c r="G83" s="181"/>
      <c r="H83" s="181"/>
      <c r="I83" s="181"/>
      <c r="J83" s="182"/>
    </row>
    <row r="84" spans="1:10">
      <c r="A84" s="3" t="s">
        <v>5</v>
      </c>
      <c r="B84" s="4" t="str">
        <f>'PLANILHA ORÇAMENTÁRIA'!A24</f>
        <v>3.3</v>
      </c>
      <c r="C84" s="164"/>
      <c r="D84" s="166" t="str">
        <f>'PLANILHA ORÇAMENTÁRIA'!D24</f>
        <v>REATERRO MANUAL DE VALAS, COM PLACA VIBRATÓRIA. AF_08/2023</v>
      </c>
      <c r="E84" s="167"/>
      <c r="F84" s="167"/>
      <c r="G84" s="167"/>
      <c r="H84" s="167"/>
      <c r="I84" s="167"/>
      <c r="J84" s="168"/>
    </row>
    <row r="85" spans="1:10">
      <c r="A85" s="3" t="s">
        <v>6</v>
      </c>
      <c r="B85" s="30">
        <f>'PLANILHA ORÇAMENTÁRIA'!C24</f>
        <v>104737</v>
      </c>
      <c r="C85" s="165"/>
      <c r="D85" s="169"/>
      <c r="E85" s="170"/>
      <c r="F85" s="170"/>
      <c r="G85" s="170"/>
      <c r="H85" s="170"/>
      <c r="I85" s="170"/>
      <c r="J85" s="171"/>
    </row>
    <row r="86" spans="1:10" ht="56.25">
      <c r="A86" s="199" t="s">
        <v>7</v>
      </c>
      <c r="B86" s="200"/>
      <c r="C86" s="12" t="s">
        <v>8</v>
      </c>
      <c r="D86" s="12" t="s">
        <v>18</v>
      </c>
      <c r="E86" s="1" t="s">
        <v>19</v>
      </c>
      <c r="F86" s="14" t="s">
        <v>222</v>
      </c>
      <c r="G86" s="10"/>
      <c r="H86" s="10"/>
      <c r="I86" s="12" t="s">
        <v>15</v>
      </c>
      <c r="J86" s="12" t="s">
        <v>10</v>
      </c>
    </row>
    <row r="87" spans="1:10" ht="22.5" customHeight="1">
      <c r="A87" s="224" t="s">
        <v>20</v>
      </c>
      <c r="B87" s="225"/>
      <c r="C87" s="7"/>
      <c r="D87" s="8">
        <f>I74</f>
        <v>45.3</v>
      </c>
      <c r="E87" s="8">
        <f>I103</f>
        <v>9.66</v>
      </c>
      <c r="F87" s="8">
        <f>I96</f>
        <v>7.18</v>
      </c>
      <c r="G87" s="7"/>
      <c r="H87" s="7"/>
      <c r="I87" s="8">
        <f>D87-E87-F87</f>
        <v>28.46</v>
      </c>
      <c r="J87" s="7"/>
    </row>
    <row r="88" spans="1:10">
      <c r="A88" s="221" t="s">
        <v>75</v>
      </c>
      <c r="B88" s="222"/>
      <c r="C88" s="222"/>
      <c r="D88" s="222"/>
      <c r="E88" s="222"/>
      <c r="F88" s="222"/>
      <c r="G88" s="222"/>
      <c r="H88" s="223"/>
      <c r="I88" s="9">
        <f>SUM(I87)</f>
        <v>28.46</v>
      </c>
      <c r="J88" s="7"/>
    </row>
    <row r="89" spans="1:10">
      <c r="A89" s="180"/>
      <c r="B89" s="181"/>
      <c r="C89" s="181"/>
      <c r="D89" s="181"/>
      <c r="E89" s="181"/>
      <c r="F89" s="181"/>
      <c r="G89" s="181"/>
      <c r="H89" s="181"/>
      <c r="I89" s="181"/>
      <c r="J89" s="182"/>
    </row>
    <row r="90" spans="1:10">
      <c r="A90" s="3" t="s">
        <v>5</v>
      </c>
      <c r="B90" s="4" t="str">
        <f>'PLANILHA ORÇAMENTÁRIA'!B25</f>
        <v>SINAPI</v>
      </c>
      <c r="C90" s="164"/>
      <c r="D90" s="166" t="str">
        <f>'PLANILHA ORÇAMENTÁRIA'!D25</f>
        <v>LASTRO DE CONCRETO MAGRO, APLICADO EM BLOCOS DE COROAMENTO OU SAPATAS, ESPESSURA DE 5 CM. AF_01/2024</v>
      </c>
      <c r="E90" s="167"/>
      <c r="F90" s="167"/>
      <c r="G90" s="167"/>
      <c r="H90" s="167"/>
      <c r="I90" s="167"/>
      <c r="J90" s="168"/>
    </row>
    <row r="91" spans="1:10">
      <c r="A91" s="3" t="s">
        <v>6</v>
      </c>
      <c r="B91" s="30">
        <f>'PLANILHA ORÇAMENTÁRIA'!C25</f>
        <v>96619</v>
      </c>
      <c r="C91" s="165"/>
      <c r="D91" s="169"/>
      <c r="E91" s="170"/>
      <c r="F91" s="170"/>
      <c r="G91" s="170"/>
      <c r="H91" s="170"/>
      <c r="I91" s="170"/>
      <c r="J91" s="171"/>
    </row>
    <row r="92" spans="1:10" ht="22.5">
      <c r="A92" s="199" t="s">
        <v>7</v>
      </c>
      <c r="B92" s="200"/>
      <c r="C92" s="12" t="s">
        <v>8</v>
      </c>
      <c r="D92" s="12" t="s">
        <v>73</v>
      </c>
      <c r="E92" s="12" t="s">
        <v>74</v>
      </c>
      <c r="F92" s="12" t="s">
        <v>71</v>
      </c>
      <c r="G92" s="12" t="s">
        <v>16</v>
      </c>
      <c r="H92" s="10"/>
      <c r="I92" s="12" t="s">
        <v>15</v>
      </c>
      <c r="J92" s="12" t="s">
        <v>10</v>
      </c>
    </row>
    <row r="93" spans="1:10" ht="22.5">
      <c r="A93" s="201" t="s">
        <v>218</v>
      </c>
      <c r="B93" s="202"/>
      <c r="C93" s="104" t="s">
        <v>154</v>
      </c>
      <c r="D93" s="11">
        <v>0.5</v>
      </c>
      <c r="E93" s="11">
        <v>0.5</v>
      </c>
      <c r="F93" s="11">
        <v>0.05</v>
      </c>
      <c r="G93" s="11">
        <v>136</v>
      </c>
      <c r="H93" s="10"/>
      <c r="I93" s="11">
        <f>ROUND(D93*E93*F93*G93,2)</f>
        <v>1.7</v>
      </c>
      <c r="J93" s="10"/>
    </row>
    <row r="94" spans="1:10" ht="33.75">
      <c r="A94" s="218" t="s">
        <v>219</v>
      </c>
      <c r="B94" s="219"/>
      <c r="C94" s="104" t="s">
        <v>185</v>
      </c>
      <c r="D94" s="8">
        <v>38.1</v>
      </c>
      <c r="E94" s="8">
        <v>0.14000000000000001</v>
      </c>
      <c r="F94" s="8">
        <v>0.05</v>
      </c>
      <c r="G94" s="8">
        <v>4</v>
      </c>
      <c r="H94" s="10"/>
      <c r="I94" s="11">
        <f>ROUND(D94*E94*F94*G94,2)</f>
        <v>1.07</v>
      </c>
      <c r="J94" s="10"/>
    </row>
    <row r="95" spans="1:10" ht="33.75" customHeight="1">
      <c r="A95" s="218" t="s">
        <v>220</v>
      </c>
      <c r="B95" s="220"/>
      <c r="C95" s="104" t="s">
        <v>184</v>
      </c>
      <c r="D95" s="8">
        <v>58.3</v>
      </c>
      <c r="E95" s="8">
        <v>0.14000000000000001</v>
      </c>
      <c r="F95" s="8">
        <v>0.05</v>
      </c>
      <c r="G95" s="8">
        <v>2</v>
      </c>
      <c r="H95" s="10"/>
      <c r="I95" s="11">
        <f>ROUND(D95*E95*F95*G95,2)</f>
        <v>0.82</v>
      </c>
      <c r="J95" s="10"/>
    </row>
    <row r="96" spans="1:10">
      <c r="A96" s="177" t="s">
        <v>186</v>
      </c>
      <c r="B96" s="178"/>
      <c r="C96" s="178"/>
      <c r="D96" s="178"/>
      <c r="E96" s="178"/>
      <c r="F96" s="178"/>
      <c r="G96" s="178"/>
      <c r="H96" s="179"/>
      <c r="I96" s="9">
        <f>2*SUM(I93:I95)</f>
        <v>7.18</v>
      </c>
      <c r="J96" s="7"/>
    </row>
    <row r="97" spans="1:10">
      <c r="A97" s="180"/>
      <c r="B97" s="181"/>
      <c r="C97" s="181"/>
      <c r="D97" s="181"/>
      <c r="E97" s="181"/>
      <c r="F97" s="181"/>
      <c r="G97" s="181"/>
      <c r="H97" s="181"/>
      <c r="I97" s="181"/>
      <c r="J97" s="182"/>
    </row>
    <row r="98" spans="1:10">
      <c r="A98" s="3" t="s">
        <v>5</v>
      </c>
      <c r="B98" s="4" t="str">
        <f>'PLANILHA ORÇAMENTÁRIA'!A26</f>
        <v>3.5</v>
      </c>
      <c r="C98" s="164"/>
      <c r="D98" s="166" t="str">
        <f>'PLANILHA ORÇAMENTÁRIA'!D26</f>
        <v>CONCRETAGEM DE SAPATA, FCK 30 MPA, COM USO DE JERICA - LANÇAMENTO, ADENSAMENTO E ACABAMENTO. AF_01/2024</v>
      </c>
      <c r="E98" s="167"/>
      <c r="F98" s="167"/>
      <c r="G98" s="167"/>
      <c r="H98" s="167"/>
      <c r="I98" s="167"/>
      <c r="J98" s="168"/>
    </row>
    <row r="99" spans="1:10" ht="21" customHeight="1">
      <c r="A99" s="3" t="s">
        <v>6</v>
      </c>
      <c r="B99" s="30">
        <f>'PLANILHA ORÇAMENTÁRIA'!C26</f>
        <v>96556</v>
      </c>
      <c r="C99" s="165"/>
      <c r="D99" s="169"/>
      <c r="E99" s="170"/>
      <c r="F99" s="170"/>
      <c r="G99" s="170"/>
      <c r="H99" s="170"/>
      <c r="I99" s="170"/>
      <c r="J99" s="171"/>
    </row>
    <row r="100" spans="1:10" ht="22.5">
      <c r="A100" s="172" t="s">
        <v>7</v>
      </c>
      <c r="B100" s="173"/>
      <c r="C100" s="6" t="s">
        <v>8</v>
      </c>
      <c r="D100" s="12" t="s">
        <v>223</v>
      </c>
      <c r="E100" s="12" t="s">
        <v>74</v>
      </c>
      <c r="F100" s="12" t="s">
        <v>71</v>
      </c>
      <c r="G100" s="12" t="s">
        <v>16</v>
      </c>
      <c r="H100" s="6"/>
      <c r="I100" s="6" t="s">
        <v>15</v>
      </c>
      <c r="J100" s="6" t="s">
        <v>10</v>
      </c>
    </row>
    <row r="101" spans="1:10" ht="33.75">
      <c r="A101" s="217" t="s">
        <v>182</v>
      </c>
      <c r="B101" s="202"/>
      <c r="C101" s="104" t="s">
        <v>154</v>
      </c>
      <c r="D101" s="11">
        <v>0.5</v>
      </c>
      <c r="E101" s="11">
        <v>0.5</v>
      </c>
      <c r="F101" s="11">
        <v>0.2</v>
      </c>
      <c r="G101" s="11">
        <v>136</v>
      </c>
      <c r="H101" s="10"/>
      <c r="I101" s="11">
        <f>ROUND(D101*E101*F101*G101,2)</f>
        <v>6.8</v>
      </c>
      <c r="J101" s="32" t="s">
        <v>77</v>
      </c>
    </row>
    <row r="102" spans="1:10" ht="33.75">
      <c r="A102" s="217" t="s">
        <v>183</v>
      </c>
      <c r="B102" s="202"/>
      <c r="C102" s="104" t="s">
        <v>183</v>
      </c>
      <c r="D102" s="8">
        <v>0.5</v>
      </c>
      <c r="E102" s="8">
        <v>0.14000000000000001</v>
      </c>
      <c r="F102" s="8">
        <v>0.3</v>
      </c>
      <c r="G102" s="8">
        <v>136</v>
      </c>
      <c r="H102" s="10"/>
      <c r="I102" s="11">
        <f t="shared" ref="I102" si="6">ROUND(D102*E102*F102*G102,2)</f>
        <v>2.86</v>
      </c>
      <c r="J102" s="32" t="s">
        <v>77</v>
      </c>
    </row>
    <row r="103" spans="1:10" ht="12.75" customHeight="1">
      <c r="A103" s="177" t="s">
        <v>12</v>
      </c>
      <c r="B103" s="178"/>
      <c r="C103" s="178"/>
      <c r="D103" s="178"/>
      <c r="E103" s="178"/>
      <c r="F103" s="178"/>
      <c r="G103" s="178"/>
      <c r="H103" s="179"/>
      <c r="I103" s="9">
        <f>SUM(I101:I102)</f>
        <v>9.66</v>
      </c>
      <c r="J103" s="7"/>
    </row>
    <row r="104" spans="1:10" ht="12.75" customHeight="1">
      <c r="A104" s="161"/>
      <c r="B104" s="162"/>
      <c r="C104" s="162"/>
      <c r="D104" s="162"/>
      <c r="E104" s="162"/>
      <c r="F104" s="162"/>
      <c r="G104" s="162"/>
      <c r="H104" s="162"/>
      <c r="I104" s="162"/>
      <c r="J104" s="163"/>
    </row>
    <row r="105" spans="1:10" ht="12.75" customHeight="1">
      <c r="A105" s="3" t="s">
        <v>5</v>
      </c>
      <c r="B105" s="4" t="str">
        <f>'PLANILHA ORÇAMENTÁRIA'!A27</f>
        <v>3.6</v>
      </c>
      <c r="C105" s="164"/>
      <c r="D105" s="166" t="str">
        <f>'PLANILHA ORÇAMENTÁRIA'!D27</f>
        <v>CONCRETAGEM DE BLOCO DE COROAMENTO OU VIGA BALDRAME, FCK 30 MPA, COM USO DE JERICA - LANÇAMENTO, ADENSAMENTO E ACABAMENTO. AF_01/2024</v>
      </c>
      <c r="E105" s="167"/>
      <c r="F105" s="167"/>
      <c r="G105" s="167"/>
      <c r="H105" s="167"/>
      <c r="I105" s="167"/>
      <c r="J105" s="168"/>
    </row>
    <row r="106" spans="1:10" ht="12.75" customHeight="1">
      <c r="A106" s="3" t="s">
        <v>6</v>
      </c>
      <c r="B106" s="30">
        <f>'PLANILHA ORÇAMENTÁRIA'!C27</f>
        <v>96555</v>
      </c>
      <c r="C106" s="165"/>
      <c r="D106" s="169"/>
      <c r="E106" s="170"/>
      <c r="F106" s="170"/>
      <c r="G106" s="170"/>
      <c r="H106" s="170"/>
      <c r="I106" s="170"/>
      <c r="J106" s="171"/>
    </row>
    <row r="107" spans="1:10" ht="22.5">
      <c r="A107" s="172" t="s">
        <v>7</v>
      </c>
      <c r="B107" s="173"/>
      <c r="C107" s="6" t="s">
        <v>8</v>
      </c>
      <c r="D107" s="12" t="s">
        <v>223</v>
      </c>
      <c r="E107" s="12" t="s">
        <v>74</v>
      </c>
      <c r="F107" s="12" t="s">
        <v>71</v>
      </c>
      <c r="G107" s="12" t="s">
        <v>16</v>
      </c>
      <c r="H107" s="6"/>
      <c r="I107" s="6" t="s">
        <v>15</v>
      </c>
      <c r="J107" s="6" t="s">
        <v>10</v>
      </c>
    </row>
    <row r="108" spans="1:10" ht="33.75">
      <c r="A108" s="217" t="s">
        <v>219</v>
      </c>
      <c r="B108" s="202"/>
      <c r="C108" s="104" t="s">
        <v>185</v>
      </c>
      <c r="D108" s="8">
        <v>38.1</v>
      </c>
      <c r="E108" s="8">
        <v>0.14000000000000001</v>
      </c>
      <c r="F108" s="8">
        <v>0.3</v>
      </c>
      <c r="G108" s="8">
        <v>4</v>
      </c>
      <c r="H108" s="10"/>
      <c r="I108" s="11">
        <f t="shared" ref="I108:I109" si="7">ROUND(D108*E108*F108*G108,2)</f>
        <v>6.4</v>
      </c>
      <c r="J108" s="32" t="s">
        <v>77</v>
      </c>
    </row>
    <row r="109" spans="1:10" ht="33.75">
      <c r="A109" s="217" t="s">
        <v>220</v>
      </c>
      <c r="B109" s="202"/>
      <c r="C109" s="104" t="s">
        <v>184</v>
      </c>
      <c r="D109" s="8">
        <v>58.3</v>
      </c>
      <c r="E109" s="8">
        <v>0.14000000000000001</v>
      </c>
      <c r="F109" s="8">
        <v>0.3</v>
      </c>
      <c r="G109" s="8">
        <v>2</v>
      </c>
      <c r="H109" s="10"/>
      <c r="I109" s="11">
        <f t="shared" si="7"/>
        <v>4.9000000000000004</v>
      </c>
      <c r="J109" s="32" t="s">
        <v>77</v>
      </c>
    </row>
    <row r="110" spans="1:10" ht="12.75" customHeight="1">
      <c r="A110" s="177" t="s">
        <v>12</v>
      </c>
      <c r="B110" s="178"/>
      <c r="C110" s="178"/>
      <c r="D110" s="178"/>
      <c r="E110" s="178"/>
      <c r="F110" s="178"/>
      <c r="G110" s="178"/>
      <c r="H110" s="179"/>
      <c r="I110" s="9">
        <f>SUM(I108:I109)</f>
        <v>11.3</v>
      </c>
      <c r="J110" s="7"/>
    </row>
    <row r="111" spans="1:10" ht="12.75" customHeight="1">
      <c r="A111" s="161"/>
      <c r="B111" s="162"/>
      <c r="C111" s="162"/>
      <c r="D111" s="162"/>
      <c r="E111" s="162"/>
      <c r="F111" s="162"/>
      <c r="G111" s="162"/>
      <c r="H111" s="162"/>
      <c r="I111" s="162"/>
      <c r="J111" s="163"/>
    </row>
    <row r="112" spans="1:10" ht="12.75" customHeight="1">
      <c r="A112" s="3" t="s">
        <v>5</v>
      </c>
      <c r="B112" s="4" t="str">
        <f>'PLANILHA ORÇAMENTÁRIA'!A28</f>
        <v>3.7</v>
      </c>
      <c r="C112" s="164"/>
      <c r="D112" s="166" t="str">
        <f>'PLANILHA ORÇAMENTÁRIA'!D28</f>
        <v>ARMAÇÃO DE SAPATA ISOLADA, VIGA BALDRAME E SAPATA CORRIDA UTILIZANDO AÇO CA-50 DE 10 MM - MONTAGEM. AF_01/2024</v>
      </c>
      <c r="E112" s="167"/>
      <c r="F112" s="167"/>
      <c r="G112" s="167"/>
      <c r="H112" s="167"/>
      <c r="I112" s="167"/>
      <c r="J112" s="168"/>
    </row>
    <row r="113" spans="1:10" ht="12.75" customHeight="1">
      <c r="A113" s="3" t="s">
        <v>6</v>
      </c>
      <c r="B113" s="30">
        <f>'PLANILHA ORÇAMENTÁRIA'!C28</f>
        <v>104919</v>
      </c>
      <c r="C113" s="165"/>
      <c r="D113" s="169"/>
      <c r="E113" s="170"/>
      <c r="F113" s="170"/>
      <c r="G113" s="170"/>
      <c r="H113" s="170"/>
      <c r="I113" s="170"/>
      <c r="J113" s="171"/>
    </row>
    <row r="114" spans="1:10" ht="22.5">
      <c r="A114" s="172" t="s">
        <v>7</v>
      </c>
      <c r="B114" s="173"/>
      <c r="C114" s="6" t="s">
        <v>8</v>
      </c>
      <c r="D114" s="12" t="s">
        <v>223</v>
      </c>
      <c r="E114" s="12" t="s">
        <v>64</v>
      </c>
      <c r="F114" s="12" t="s">
        <v>16</v>
      </c>
      <c r="G114" s="12" t="s">
        <v>221</v>
      </c>
      <c r="H114" s="10"/>
      <c r="I114" s="6" t="s">
        <v>21</v>
      </c>
      <c r="J114" s="6" t="s">
        <v>10</v>
      </c>
    </row>
    <row r="115" spans="1:10" ht="33.75">
      <c r="A115" s="174" t="s">
        <v>79</v>
      </c>
      <c r="B115" s="175"/>
      <c r="C115" s="104" t="s">
        <v>183</v>
      </c>
      <c r="D115" s="11">
        <v>1.2</v>
      </c>
      <c r="E115" s="11">
        <v>4</v>
      </c>
      <c r="F115" s="11">
        <v>136</v>
      </c>
      <c r="G115" s="119">
        <v>0.61699999999999999</v>
      </c>
      <c r="H115" s="10"/>
      <c r="I115" s="11">
        <f t="shared" ref="I115" si="8">ROUND(D115*E115*F115*G115,2)</f>
        <v>402.78</v>
      </c>
      <c r="J115" s="32" t="s">
        <v>77</v>
      </c>
    </row>
    <row r="116" spans="1:10" ht="12.75" customHeight="1">
      <c r="A116" s="177" t="s">
        <v>12</v>
      </c>
      <c r="B116" s="178"/>
      <c r="C116" s="178"/>
      <c r="D116" s="178"/>
      <c r="E116" s="178"/>
      <c r="F116" s="178"/>
      <c r="G116" s="178"/>
      <c r="H116" s="179"/>
      <c r="I116" s="9">
        <f>SUM(I115:I115)</f>
        <v>402.78</v>
      </c>
      <c r="J116" s="7"/>
    </row>
    <row r="117" spans="1:10">
      <c r="A117" s="180"/>
      <c r="B117" s="181"/>
      <c r="C117" s="181"/>
      <c r="D117" s="181"/>
      <c r="E117" s="181"/>
      <c r="F117" s="181"/>
      <c r="G117" s="181"/>
      <c r="H117" s="181"/>
      <c r="I117" s="181"/>
      <c r="J117" s="182"/>
    </row>
    <row r="118" spans="1:10">
      <c r="A118" s="3" t="s">
        <v>5</v>
      </c>
      <c r="B118" s="4" t="str">
        <f>'PLANILHA ORÇAMENTÁRIA'!A29</f>
        <v>3.8</v>
      </c>
      <c r="C118" s="164"/>
      <c r="D118" s="166" t="str">
        <f>'PLANILHA ORÇAMENTÁRIA'!D29</f>
        <v>ARMAÇÃO DE SAPATA ISOLADA, VIGA BALDRAME E SAPATA CORRIDA UTILIZANDO AÇO CA-50 DE 8 MM - MONTAGEM. AF_01/2024</v>
      </c>
      <c r="E118" s="167"/>
      <c r="F118" s="167"/>
      <c r="G118" s="167"/>
      <c r="H118" s="167"/>
      <c r="I118" s="167"/>
      <c r="J118" s="168"/>
    </row>
    <row r="119" spans="1:10">
      <c r="A119" s="3" t="s">
        <v>6</v>
      </c>
      <c r="B119" s="30">
        <f>'PLANILHA ORÇAMENTÁRIA'!C29</f>
        <v>104918</v>
      </c>
      <c r="C119" s="165"/>
      <c r="D119" s="169"/>
      <c r="E119" s="170"/>
      <c r="F119" s="170"/>
      <c r="G119" s="170"/>
      <c r="H119" s="170"/>
      <c r="I119" s="170"/>
      <c r="J119" s="171"/>
    </row>
    <row r="120" spans="1:10" ht="22.5">
      <c r="A120" s="172" t="s">
        <v>7</v>
      </c>
      <c r="B120" s="173"/>
      <c r="C120" s="6" t="s">
        <v>8</v>
      </c>
      <c r="D120" s="12" t="s">
        <v>223</v>
      </c>
      <c r="E120" s="12" t="s">
        <v>64</v>
      </c>
      <c r="F120" s="12" t="s">
        <v>16</v>
      </c>
      <c r="G120" s="12" t="s">
        <v>221</v>
      </c>
      <c r="H120" s="10"/>
      <c r="I120" s="6" t="s">
        <v>21</v>
      </c>
      <c r="J120" s="6" t="s">
        <v>10</v>
      </c>
    </row>
    <row r="121" spans="1:10" ht="33.75">
      <c r="A121" s="174" t="s">
        <v>78</v>
      </c>
      <c r="B121" s="175"/>
      <c r="C121" s="13" t="s">
        <v>226</v>
      </c>
      <c r="D121" s="11">
        <v>269</v>
      </c>
      <c r="E121" s="119">
        <v>4</v>
      </c>
      <c r="F121" s="11"/>
      <c r="G121" s="119">
        <v>0.39500000000000002</v>
      </c>
      <c r="H121" s="10"/>
      <c r="I121" s="11">
        <f>ROUND(D121*E121*G121,2)</f>
        <v>425.02</v>
      </c>
      <c r="J121" s="32" t="s">
        <v>77</v>
      </c>
    </row>
    <row r="122" spans="1:10">
      <c r="A122" s="229" t="s">
        <v>17</v>
      </c>
      <c r="B122" s="230"/>
      <c r="C122" s="230"/>
      <c r="D122" s="230"/>
      <c r="E122" s="230"/>
      <c r="F122" s="230"/>
      <c r="G122" s="230"/>
      <c r="H122" s="231"/>
      <c r="I122" s="9">
        <f>SUM(I121:I121)</f>
        <v>425.02</v>
      </c>
      <c r="J122" s="7"/>
    </row>
    <row r="123" spans="1:10">
      <c r="A123" s="180"/>
      <c r="B123" s="181"/>
      <c r="C123" s="181"/>
      <c r="D123" s="181"/>
      <c r="E123" s="181"/>
      <c r="F123" s="181"/>
      <c r="G123" s="181"/>
      <c r="H123" s="181"/>
      <c r="I123" s="181"/>
      <c r="J123" s="182"/>
    </row>
    <row r="124" spans="1:10">
      <c r="A124" s="3" t="s">
        <v>5</v>
      </c>
      <c r="B124" s="4" t="str">
        <f>'PLANILHA ORÇAMENTÁRIA'!A30</f>
        <v>3.9</v>
      </c>
      <c r="C124" s="164"/>
      <c r="D124" s="166" t="str">
        <f>'PLANILHA ORÇAMENTÁRIA'!D30</f>
        <v>ARMAÇÃO DE SAPATA ISOLADA, VIGA BALDRAME E SAPATA CORRIDA UTILIZANDO AÇO CA-50 DE 6,3 MM - MONTAGEM. AF_01/2024</v>
      </c>
      <c r="E124" s="167"/>
      <c r="F124" s="167"/>
      <c r="G124" s="167"/>
      <c r="H124" s="167"/>
      <c r="I124" s="167"/>
      <c r="J124" s="168"/>
    </row>
    <row r="125" spans="1:10">
      <c r="A125" s="3" t="s">
        <v>6</v>
      </c>
      <c r="B125" s="30">
        <f>'PLANILHA ORÇAMENTÁRIA'!C30</f>
        <v>104917</v>
      </c>
      <c r="C125" s="165"/>
      <c r="D125" s="169"/>
      <c r="E125" s="170"/>
      <c r="F125" s="170"/>
      <c r="G125" s="170"/>
      <c r="H125" s="170"/>
      <c r="I125" s="170"/>
      <c r="J125" s="171"/>
    </row>
    <row r="126" spans="1:10" ht="22.5">
      <c r="A126" s="172" t="s">
        <v>7</v>
      </c>
      <c r="B126" s="173"/>
      <c r="C126" s="6" t="s">
        <v>8</v>
      </c>
      <c r="D126" s="12" t="s">
        <v>223</v>
      </c>
      <c r="E126" s="12" t="s">
        <v>64</v>
      </c>
      <c r="F126" s="12" t="s">
        <v>16</v>
      </c>
      <c r="G126" s="12" t="s">
        <v>221</v>
      </c>
      <c r="H126" s="10"/>
      <c r="I126" s="6" t="s">
        <v>21</v>
      </c>
      <c r="J126" s="6" t="s">
        <v>10</v>
      </c>
    </row>
    <row r="127" spans="1:10" ht="33.75">
      <c r="A127" s="174" t="s">
        <v>76</v>
      </c>
      <c r="B127" s="175"/>
      <c r="C127" s="13" t="s">
        <v>224</v>
      </c>
      <c r="D127" s="11">
        <v>0.72</v>
      </c>
      <c r="E127" s="11">
        <v>12</v>
      </c>
      <c r="F127" s="11">
        <v>136</v>
      </c>
      <c r="G127" s="119">
        <v>0.245</v>
      </c>
      <c r="H127" s="10"/>
      <c r="I127" s="11">
        <f t="shared" ref="I127" si="9">ROUND(D127*E127*F127*G127,2)</f>
        <v>287.88</v>
      </c>
      <c r="J127" s="32" t="s">
        <v>77</v>
      </c>
    </row>
    <row r="128" spans="1:10">
      <c r="A128" s="177" t="s">
        <v>12</v>
      </c>
      <c r="B128" s="178"/>
      <c r="C128" s="178"/>
      <c r="D128" s="178"/>
      <c r="E128" s="178"/>
      <c r="F128" s="178"/>
      <c r="G128" s="178"/>
      <c r="H128" s="179"/>
      <c r="I128" s="9">
        <f>SUM(I127:I127)</f>
        <v>287.88</v>
      </c>
      <c r="J128" s="7"/>
    </row>
    <row r="129" spans="1:10">
      <c r="A129" s="180"/>
      <c r="B129" s="181"/>
      <c r="C129" s="181"/>
      <c r="D129" s="181"/>
      <c r="E129" s="181"/>
      <c r="F129" s="181"/>
      <c r="G129" s="181"/>
      <c r="H129" s="181"/>
      <c r="I129" s="181"/>
      <c r="J129" s="182"/>
    </row>
    <row r="130" spans="1:10" ht="12.75" customHeight="1">
      <c r="A130" s="3" t="s">
        <v>5</v>
      </c>
      <c r="B130" s="4" t="str">
        <f>'PLANILHA ORÇAMENTÁRIA'!A31</f>
        <v>3.10</v>
      </c>
      <c r="C130" s="164"/>
      <c r="D130" s="166" t="str">
        <f>'PLANILHA ORÇAMENTÁRIA'!D31</f>
        <v>ARMAÇÃO DE SAPATA ISOLADA, VIGA BALDRAME E SAPATA CORRIDA UTILIZANDO AÇO CA-60 DE 5 MM - MONTAGEM. AF_01/2024</v>
      </c>
      <c r="E130" s="167"/>
      <c r="F130" s="167"/>
      <c r="G130" s="167"/>
      <c r="H130" s="167"/>
      <c r="I130" s="167"/>
      <c r="J130" s="168"/>
    </row>
    <row r="131" spans="1:10">
      <c r="A131" s="3" t="s">
        <v>6</v>
      </c>
      <c r="B131" s="30">
        <f>'PLANILHA ORÇAMENTÁRIA'!C31</f>
        <v>104916</v>
      </c>
      <c r="C131" s="165"/>
      <c r="D131" s="169"/>
      <c r="E131" s="170"/>
      <c r="F131" s="170"/>
      <c r="G131" s="170"/>
      <c r="H131" s="170"/>
      <c r="I131" s="170"/>
      <c r="J131" s="171"/>
    </row>
    <row r="132" spans="1:10" ht="22.5">
      <c r="A132" s="172" t="s">
        <v>7</v>
      </c>
      <c r="B132" s="173"/>
      <c r="C132" s="6" t="s">
        <v>8</v>
      </c>
      <c r="D132" s="12" t="s">
        <v>223</v>
      </c>
      <c r="E132" s="12" t="s">
        <v>64</v>
      </c>
      <c r="F132" s="12" t="s">
        <v>16</v>
      </c>
      <c r="G132" s="12" t="s">
        <v>221</v>
      </c>
      <c r="H132" s="10"/>
      <c r="I132" s="6" t="s">
        <v>21</v>
      </c>
      <c r="J132" s="6" t="s">
        <v>10</v>
      </c>
    </row>
    <row r="133" spans="1:10" ht="33.75">
      <c r="A133" s="174" t="s">
        <v>79</v>
      </c>
      <c r="B133" s="175"/>
      <c r="C133" s="13" t="s">
        <v>225</v>
      </c>
      <c r="D133" s="11">
        <v>0.76</v>
      </c>
      <c r="E133" s="11">
        <v>9</v>
      </c>
      <c r="F133" s="11">
        <v>136</v>
      </c>
      <c r="G133" s="119">
        <v>0.154</v>
      </c>
      <c r="H133" s="10"/>
      <c r="I133" s="11">
        <f t="shared" ref="I133" si="10">ROUND(D133*E133*F133*G133,2)</f>
        <v>143.26</v>
      </c>
      <c r="J133" s="32" t="s">
        <v>77</v>
      </c>
    </row>
    <row r="134" spans="1:10">
      <c r="A134" s="177" t="s">
        <v>12</v>
      </c>
      <c r="B134" s="178"/>
      <c r="C134" s="178"/>
      <c r="D134" s="178"/>
      <c r="E134" s="178"/>
      <c r="F134" s="178"/>
      <c r="G134" s="178"/>
      <c r="H134" s="179"/>
      <c r="I134" s="9">
        <f>SUM(I133:I133)</f>
        <v>143.26</v>
      </c>
      <c r="J134" s="7"/>
    </row>
    <row r="135" spans="1:10">
      <c r="A135" s="180"/>
      <c r="B135" s="181"/>
      <c r="C135" s="181"/>
      <c r="D135" s="181"/>
      <c r="E135" s="181"/>
      <c r="F135" s="181"/>
      <c r="G135" s="181"/>
      <c r="H135" s="181"/>
      <c r="I135" s="181"/>
      <c r="J135" s="182"/>
    </row>
    <row r="136" spans="1:10" ht="17.25" customHeight="1">
      <c r="A136" s="3" t="s">
        <v>5</v>
      </c>
      <c r="B136" s="4" t="str">
        <f>'PLANILHA ORÇAMENTÁRIA'!A32</f>
        <v>3.11</v>
      </c>
      <c r="C136" s="164"/>
      <c r="D136" s="166" t="str">
        <f>'PLANILHA ORÇAMENTÁRIA'!D32</f>
        <v>MONTAGEM E DESMONTAGEM DE FÔRMA DE PILARES RETANGULARES E ESTRUTURAS SIMILARES, PÉ-DIREITO SIMPLES, EM CHAPA DE MADEIRA COMPENSADA RESINADA, 8 UTILIZAÇÕES. AF_09/2020</v>
      </c>
      <c r="E136" s="167"/>
      <c r="F136" s="167"/>
      <c r="G136" s="167"/>
      <c r="H136" s="167"/>
      <c r="I136" s="167"/>
      <c r="J136" s="168"/>
    </row>
    <row r="137" spans="1:10" ht="16.5" customHeight="1">
      <c r="A137" s="3" t="s">
        <v>6</v>
      </c>
      <c r="B137" s="30">
        <f>'PLANILHA ORÇAMENTÁRIA'!C32</f>
        <v>92427</v>
      </c>
      <c r="C137" s="165"/>
      <c r="D137" s="169"/>
      <c r="E137" s="170"/>
      <c r="F137" s="170"/>
      <c r="G137" s="170"/>
      <c r="H137" s="170"/>
      <c r="I137" s="170"/>
      <c r="J137" s="171"/>
    </row>
    <row r="138" spans="1:10" ht="22.5">
      <c r="A138" s="172" t="s">
        <v>7</v>
      </c>
      <c r="B138" s="173"/>
      <c r="C138" s="6" t="s">
        <v>8</v>
      </c>
      <c r="D138" s="6" t="s">
        <v>223</v>
      </c>
      <c r="E138" s="12" t="s">
        <v>74</v>
      </c>
      <c r="F138" s="12" t="s">
        <v>14</v>
      </c>
      <c r="G138" s="12" t="s">
        <v>16</v>
      </c>
      <c r="H138" s="7"/>
      <c r="I138" s="6" t="s">
        <v>72</v>
      </c>
      <c r="J138" s="6" t="s">
        <v>10</v>
      </c>
    </row>
    <row r="139" spans="1:10" ht="33.75">
      <c r="A139" s="174" t="s">
        <v>79</v>
      </c>
      <c r="B139" s="175"/>
      <c r="C139" s="104" t="s">
        <v>183</v>
      </c>
      <c r="D139" s="11">
        <v>0.5</v>
      </c>
      <c r="E139" s="11">
        <v>0.14000000000000001</v>
      </c>
      <c r="F139" s="11">
        <v>0.3</v>
      </c>
      <c r="G139" s="11">
        <v>136</v>
      </c>
      <c r="H139" s="10"/>
      <c r="I139" s="11">
        <f>ROUND((E139+F139+E139+F139)*D139*G139,2)</f>
        <v>59.84</v>
      </c>
      <c r="J139" s="32" t="s">
        <v>77</v>
      </c>
    </row>
    <row r="140" spans="1:10" ht="12.75" customHeight="1">
      <c r="A140" s="177" t="s">
        <v>12</v>
      </c>
      <c r="B140" s="178"/>
      <c r="C140" s="214"/>
      <c r="D140" s="214"/>
      <c r="E140" s="214"/>
      <c r="F140" s="214"/>
      <c r="G140" s="214"/>
      <c r="H140" s="179"/>
      <c r="I140" s="9">
        <f>SUM(I139:I139)</f>
        <v>59.84</v>
      </c>
      <c r="J140" s="7"/>
    </row>
    <row r="141" spans="1:10">
      <c r="A141" s="180"/>
      <c r="B141" s="181"/>
      <c r="C141" s="181"/>
      <c r="D141" s="181"/>
      <c r="E141" s="181"/>
      <c r="F141" s="181"/>
      <c r="G141" s="181"/>
      <c r="H141" s="181"/>
      <c r="I141" s="181"/>
      <c r="J141" s="182"/>
    </row>
    <row r="142" spans="1:10" ht="12.75" customHeight="1">
      <c r="A142" s="2" t="str">
        <f>'PLANILHA ORÇAMENTÁRIA'!A35</f>
        <v>4.0</v>
      </c>
      <c r="B142" s="195" t="str">
        <f>'PLANILHA ORÇAMENTÁRIA'!D35</f>
        <v>SERRALHERIA</v>
      </c>
      <c r="C142" s="196"/>
      <c r="D142" s="196"/>
      <c r="E142" s="196"/>
      <c r="F142" s="196"/>
      <c r="G142" s="196"/>
      <c r="H142" s="196"/>
      <c r="I142" s="196"/>
      <c r="J142" s="197"/>
    </row>
    <row r="143" spans="1:10">
      <c r="A143" s="180"/>
      <c r="B143" s="181"/>
      <c r="C143" s="181"/>
      <c r="D143" s="181"/>
      <c r="E143" s="181"/>
      <c r="F143" s="181"/>
      <c r="G143" s="181"/>
      <c r="H143" s="181"/>
      <c r="I143" s="181"/>
      <c r="J143" s="182"/>
    </row>
    <row r="144" spans="1:10" ht="22.5" customHeight="1">
      <c r="A144" s="3" t="s">
        <v>5</v>
      </c>
      <c r="B144" s="4" t="str">
        <f>'PLANILHA ORÇAMENTÁRIA'!A36</f>
        <v>4.1</v>
      </c>
      <c r="C144" s="164"/>
      <c r="D144" s="166" t="str">
        <f>'PLANILHA ORÇAMENTÁRIA'!D36</f>
        <v>ALAMBRADO PARA QUADRA POLIESPORTIVA, ESTRUTURADO POR TUBOS DE ACO GALVANIZADO, (MONTANTES COM DIAMETRO 2", TRAVESSAS E ESCORAS COM DIÂMETRO 1 ¼"), COM TELA DE ARAME GALVANIZADO, FIO 10 BWG E MALHA QUADRADA 5X5CM (EXCETO MURETA). AF_03/2021</v>
      </c>
      <c r="E144" s="167"/>
      <c r="F144" s="167"/>
      <c r="G144" s="167"/>
      <c r="H144" s="167"/>
      <c r="I144" s="167"/>
      <c r="J144" s="168"/>
    </row>
    <row r="145" spans="1:10" ht="23.25" customHeight="1">
      <c r="A145" s="3" t="s">
        <v>6</v>
      </c>
      <c r="B145" s="31">
        <f>'PLANILHA ORÇAMENTÁRIA'!C36</f>
        <v>102364</v>
      </c>
      <c r="C145" s="165"/>
      <c r="D145" s="169"/>
      <c r="E145" s="170"/>
      <c r="F145" s="170"/>
      <c r="G145" s="170"/>
      <c r="H145" s="170"/>
      <c r="I145" s="170"/>
      <c r="J145" s="171"/>
    </row>
    <row r="146" spans="1:10" ht="22.5">
      <c r="A146" s="172" t="s">
        <v>7</v>
      </c>
      <c r="B146" s="173"/>
      <c r="C146" s="115" t="s">
        <v>8</v>
      </c>
      <c r="D146" s="6" t="s">
        <v>13</v>
      </c>
      <c r="E146" s="6" t="s">
        <v>14</v>
      </c>
      <c r="F146" s="6" t="s">
        <v>168</v>
      </c>
      <c r="G146" s="6" t="s">
        <v>16</v>
      </c>
      <c r="H146" s="7"/>
      <c r="I146" s="6" t="s">
        <v>9</v>
      </c>
      <c r="J146" s="6" t="s">
        <v>10</v>
      </c>
    </row>
    <row r="147" spans="1:10">
      <c r="A147" s="211" t="s">
        <v>166</v>
      </c>
      <c r="B147" s="213"/>
      <c r="C147" s="102" t="s">
        <v>167</v>
      </c>
      <c r="D147" s="114">
        <v>58.3</v>
      </c>
      <c r="E147" s="100">
        <v>4</v>
      </c>
      <c r="F147" s="100"/>
      <c r="G147" s="100">
        <v>2</v>
      </c>
      <c r="H147" s="84"/>
      <c r="I147" s="100">
        <f>D147*E147*G147</f>
        <v>466.4</v>
      </c>
      <c r="J147" s="7"/>
    </row>
    <row r="148" spans="1:10">
      <c r="A148" s="211" t="s">
        <v>166</v>
      </c>
      <c r="B148" s="212"/>
      <c r="C148" s="113" t="s">
        <v>181</v>
      </c>
      <c r="D148" s="100">
        <v>4</v>
      </c>
      <c r="E148" s="100">
        <v>4</v>
      </c>
      <c r="F148" s="100"/>
      <c r="G148" s="100">
        <v>4</v>
      </c>
      <c r="H148" s="84"/>
      <c r="I148" s="100">
        <f>D148*E148*G148</f>
        <v>64</v>
      </c>
      <c r="J148" s="112"/>
    </row>
    <row r="149" spans="1:10">
      <c r="A149" s="211" t="s">
        <v>166</v>
      </c>
      <c r="B149" s="212"/>
      <c r="C149" s="102" t="s">
        <v>180</v>
      </c>
      <c r="D149" s="100">
        <v>34</v>
      </c>
      <c r="E149" s="100">
        <v>2</v>
      </c>
      <c r="F149" s="100"/>
      <c r="G149" s="100">
        <v>4</v>
      </c>
      <c r="H149" s="84"/>
      <c r="I149" s="100">
        <f>D149*E149*G149</f>
        <v>272</v>
      </c>
      <c r="J149" s="109"/>
    </row>
    <row r="150" spans="1:10" ht="13.5" customHeight="1">
      <c r="A150" s="211" t="s">
        <v>166</v>
      </c>
      <c r="B150" s="213"/>
      <c r="C150" s="102" t="s">
        <v>169</v>
      </c>
      <c r="D150" s="101">
        <v>2</v>
      </c>
      <c r="E150" s="101">
        <v>2</v>
      </c>
      <c r="F150" s="101">
        <v>2</v>
      </c>
      <c r="G150" s="100">
        <v>4</v>
      </c>
      <c r="H150" s="102"/>
      <c r="I150" s="101">
        <f>((D150*E150)/F150)*G150</f>
        <v>8</v>
      </c>
      <c r="J150" s="109"/>
    </row>
    <row r="151" spans="1:10">
      <c r="A151" s="226" t="s">
        <v>170</v>
      </c>
      <c r="B151" s="227"/>
      <c r="C151" s="227"/>
      <c r="D151" s="227"/>
      <c r="E151" s="227"/>
      <c r="F151" s="227"/>
      <c r="G151" s="227"/>
      <c r="H151" s="228"/>
      <c r="I151" s="9">
        <f>SUM(I147:I150)</f>
        <v>810.4</v>
      </c>
      <c r="J151" s="7"/>
    </row>
    <row r="152" spans="1:10">
      <c r="A152" s="180"/>
      <c r="B152" s="181"/>
      <c r="C152" s="181"/>
      <c r="D152" s="181"/>
      <c r="E152" s="181"/>
      <c r="F152" s="181"/>
      <c r="G152" s="181"/>
      <c r="H152" s="181"/>
      <c r="I152" s="181"/>
      <c r="J152" s="182"/>
    </row>
    <row r="153" spans="1:10">
      <c r="A153" s="2" t="str">
        <f>'PLANILHA ORÇAMENTÁRIA'!A39</f>
        <v>5.0</v>
      </c>
      <c r="B153" s="195" t="str">
        <f>'PLANILHA ORÇAMENTÁRIA'!D39</f>
        <v>PINTURA</v>
      </c>
      <c r="C153" s="196"/>
      <c r="D153" s="196"/>
      <c r="E153" s="196"/>
      <c r="F153" s="196"/>
      <c r="G153" s="196"/>
      <c r="H153" s="196"/>
      <c r="I153" s="196"/>
      <c r="J153" s="197"/>
    </row>
    <row r="154" spans="1:10">
      <c r="A154" s="180"/>
      <c r="B154" s="181"/>
      <c r="C154" s="181"/>
      <c r="D154" s="181"/>
      <c r="E154" s="181"/>
      <c r="F154" s="181"/>
      <c r="G154" s="181"/>
      <c r="H154" s="181"/>
      <c r="I154" s="181"/>
      <c r="J154" s="182"/>
    </row>
    <row r="155" spans="1:10" ht="16.5" customHeight="1">
      <c r="A155" s="3" t="s">
        <v>5</v>
      </c>
      <c r="B155" s="4" t="str">
        <f>'PLANILHA ORÇAMENTÁRIA'!A40</f>
        <v>5.1</v>
      </c>
      <c r="C155" s="164"/>
      <c r="D155" s="166" t="str">
        <f>'PLANILHA ORÇAMENTÁRIA'!D40</f>
        <v>PINTURA COM TINTA ALQUÍDICA DE ACABAMENTO (ESMALTE SINTÉTICO BRILHANTE) PULVERIZADA SOBRE SUPERFÍCIES METÁLICAS (EXCETO PERFIL) EXECUTADO EM OBRA (POR DEMÃO). AF_01/2020_PE</v>
      </c>
      <c r="E155" s="167"/>
      <c r="F155" s="167"/>
      <c r="G155" s="167"/>
      <c r="H155" s="167"/>
      <c r="I155" s="167"/>
      <c r="J155" s="168"/>
    </row>
    <row r="156" spans="1:10" ht="16.5" customHeight="1">
      <c r="A156" s="3" t="s">
        <v>6</v>
      </c>
      <c r="B156" s="5">
        <f>'PLANILHA ORÇAMENTÁRIA'!C40</f>
        <v>100745</v>
      </c>
      <c r="C156" s="165"/>
      <c r="D156" s="169"/>
      <c r="E156" s="170"/>
      <c r="F156" s="170"/>
      <c r="G156" s="170"/>
      <c r="H156" s="170"/>
      <c r="I156" s="170"/>
      <c r="J156" s="171"/>
    </row>
    <row r="157" spans="1:10" ht="27" customHeight="1">
      <c r="A157" s="172" t="s">
        <v>7</v>
      </c>
      <c r="B157" s="173"/>
      <c r="C157" s="6" t="s">
        <v>8</v>
      </c>
      <c r="D157" s="6" t="s">
        <v>197</v>
      </c>
      <c r="E157" s="6" t="s">
        <v>196</v>
      </c>
      <c r="F157" s="6" t="s">
        <v>16</v>
      </c>
      <c r="G157" s="6"/>
      <c r="H157" s="7"/>
      <c r="I157" s="6" t="s">
        <v>9</v>
      </c>
      <c r="J157" s="6" t="s">
        <v>10</v>
      </c>
    </row>
    <row r="158" spans="1:10" ht="12.75" customHeight="1">
      <c r="A158" s="211" t="s">
        <v>193</v>
      </c>
      <c r="B158" s="212"/>
      <c r="C158" s="7" t="s">
        <v>194</v>
      </c>
      <c r="D158" s="8">
        <v>4</v>
      </c>
      <c r="E158" s="8">
        <v>0.16</v>
      </c>
      <c r="F158" s="8">
        <v>68</v>
      </c>
      <c r="G158" s="8"/>
      <c r="H158" s="7"/>
      <c r="I158" s="8">
        <f>ROUND(D158*E158*F158,2)</f>
        <v>43.52</v>
      </c>
      <c r="J158" s="7"/>
    </row>
    <row r="159" spans="1:10" ht="12.75" customHeight="1">
      <c r="A159" s="211" t="s">
        <v>193</v>
      </c>
      <c r="B159" s="212"/>
      <c r="C159" s="7" t="s">
        <v>194</v>
      </c>
      <c r="D159" s="8">
        <v>58.3</v>
      </c>
      <c r="E159" s="8">
        <v>0.16</v>
      </c>
      <c r="F159" s="8">
        <v>6</v>
      </c>
      <c r="G159" s="8"/>
      <c r="H159" s="7"/>
      <c r="I159" s="8">
        <f t="shared" ref="I159:I162" si="11">ROUND(D159*E159*F159,2)</f>
        <v>55.97</v>
      </c>
      <c r="J159" s="7"/>
    </row>
    <row r="160" spans="1:10" ht="12.75" customHeight="1">
      <c r="A160" s="211" t="s">
        <v>195</v>
      </c>
      <c r="B160" s="212"/>
      <c r="C160" s="7" t="s">
        <v>194</v>
      </c>
      <c r="D160" s="8">
        <v>38.1</v>
      </c>
      <c r="E160" s="8">
        <v>0.16</v>
      </c>
      <c r="F160" s="8">
        <v>3</v>
      </c>
      <c r="G160" s="8"/>
      <c r="H160" s="7"/>
      <c r="I160" s="8">
        <f t="shared" si="11"/>
        <v>18.29</v>
      </c>
      <c r="J160" s="7"/>
    </row>
    <row r="161" spans="1:10" ht="12.75" customHeight="1">
      <c r="A161" s="211" t="s">
        <v>195</v>
      </c>
      <c r="B161" s="212"/>
      <c r="C161" s="7" t="s">
        <v>198</v>
      </c>
      <c r="D161" s="8">
        <v>2.79</v>
      </c>
      <c r="E161" s="117">
        <v>0.16</v>
      </c>
      <c r="F161" s="101">
        <v>4</v>
      </c>
      <c r="G161" s="101"/>
      <c r="H161" s="102"/>
      <c r="I161" s="8">
        <f t="shared" si="11"/>
        <v>1.79</v>
      </c>
      <c r="J161" s="7"/>
    </row>
    <row r="162" spans="1:10" ht="12.75" customHeight="1">
      <c r="A162" s="211" t="s">
        <v>195</v>
      </c>
      <c r="B162" s="212"/>
      <c r="C162" s="7" t="s">
        <v>194</v>
      </c>
      <c r="D162" s="101">
        <v>2</v>
      </c>
      <c r="E162" s="101">
        <v>0.16</v>
      </c>
      <c r="F162" s="101">
        <v>76</v>
      </c>
      <c r="G162" s="101"/>
      <c r="H162" s="102"/>
      <c r="I162" s="8">
        <f t="shared" si="11"/>
        <v>24.32</v>
      </c>
      <c r="J162" s="7"/>
    </row>
    <row r="163" spans="1:10" ht="12.75" customHeight="1">
      <c r="A163" s="215" t="s">
        <v>12</v>
      </c>
      <c r="B163" s="204"/>
      <c r="C163" s="204"/>
      <c r="D163" s="204"/>
      <c r="E163" s="204"/>
      <c r="F163" s="204"/>
      <c r="G163" s="204"/>
      <c r="H163" s="216"/>
      <c r="I163" s="9">
        <f>SUM(I158:I162)</f>
        <v>143.89000000000001</v>
      </c>
      <c r="J163" s="7"/>
    </row>
    <row r="164" spans="1:10">
      <c r="A164" s="180"/>
      <c r="B164" s="181"/>
      <c r="C164" s="181"/>
      <c r="D164" s="181"/>
      <c r="E164" s="181"/>
      <c r="F164" s="181"/>
      <c r="G164" s="181"/>
      <c r="H164" s="181"/>
      <c r="I164" s="181"/>
      <c r="J164" s="182"/>
    </row>
    <row r="166" spans="1:10" ht="21" customHeight="1"/>
    <row r="168" spans="1:10" ht="45" customHeight="1">
      <c r="D168" s="176" t="s">
        <v>129</v>
      </c>
      <c r="E168" s="176"/>
      <c r="F168" s="176"/>
    </row>
  </sheetData>
  <mergeCells count="165">
    <mergeCell ref="C105:C106"/>
    <mergeCell ref="D105:J106"/>
    <mergeCell ref="A107:B107"/>
    <mergeCell ref="A108:B108"/>
    <mergeCell ref="A109:B109"/>
    <mergeCell ref="A110:H110"/>
    <mergeCell ref="A104:J104"/>
    <mergeCell ref="A154:J154"/>
    <mergeCell ref="A149:B149"/>
    <mergeCell ref="A143:J143"/>
    <mergeCell ref="C144:C145"/>
    <mergeCell ref="D144:J145"/>
    <mergeCell ref="A146:B146"/>
    <mergeCell ref="A147:B147"/>
    <mergeCell ref="A151:H151"/>
    <mergeCell ref="A120:B120"/>
    <mergeCell ref="A122:H122"/>
    <mergeCell ref="A134:H134"/>
    <mergeCell ref="A133:B133"/>
    <mergeCell ref="C130:C131"/>
    <mergeCell ref="D130:J131"/>
    <mergeCell ref="A132:B132"/>
    <mergeCell ref="A123:J123"/>
    <mergeCell ref="A121:B121"/>
    <mergeCell ref="A73:B73"/>
    <mergeCell ref="A74:H74"/>
    <mergeCell ref="A97:J97"/>
    <mergeCell ref="A103:H103"/>
    <mergeCell ref="C98:C99"/>
    <mergeCell ref="D98:J99"/>
    <mergeCell ref="A100:B100"/>
    <mergeCell ref="A101:B101"/>
    <mergeCell ref="A102:B102"/>
    <mergeCell ref="A93:B93"/>
    <mergeCell ref="A94:B94"/>
    <mergeCell ref="A95:B95"/>
    <mergeCell ref="A96:H96"/>
    <mergeCell ref="A88:H88"/>
    <mergeCell ref="A89:J89"/>
    <mergeCell ref="C90:C91"/>
    <mergeCell ref="D90:J91"/>
    <mergeCell ref="A92:B92"/>
    <mergeCell ref="C84:C85"/>
    <mergeCell ref="D84:J85"/>
    <mergeCell ref="A86:B86"/>
    <mergeCell ref="A87:B87"/>
    <mergeCell ref="A83:J83"/>
    <mergeCell ref="A150:B150"/>
    <mergeCell ref="A141:J141"/>
    <mergeCell ref="A139:B139"/>
    <mergeCell ref="A140:H140"/>
    <mergeCell ref="B153:J153"/>
    <mergeCell ref="A161:B161"/>
    <mergeCell ref="A157:B157"/>
    <mergeCell ref="A158:B158"/>
    <mergeCell ref="A163:H163"/>
    <mergeCell ref="C155:C156"/>
    <mergeCell ref="D155:J156"/>
    <mergeCell ref="A159:B159"/>
    <mergeCell ref="A160:B160"/>
    <mergeCell ref="A162:B162"/>
    <mergeCell ref="A63:B63"/>
    <mergeCell ref="A64:H64"/>
    <mergeCell ref="A46:B46"/>
    <mergeCell ref="A47:H47"/>
    <mergeCell ref="A82:H82"/>
    <mergeCell ref="C76:C77"/>
    <mergeCell ref="D76:J77"/>
    <mergeCell ref="A78:B78"/>
    <mergeCell ref="A72:B72"/>
    <mergeCell ref="A61:B61"/>
    <mergeCell ref="A62:B62"/>
    <mergeCell ref="A79:B79"/>
    <mergeCell ref="A80:B80"/>
    <mergeCell ref="A75:J75"/>
    <mergeCell ref="C68:C69"/>
    <mergeCell ref="D68:J69"/>
    <mergeCell ref="A70:B70"/>
    <mergeCell ref="A71:B71"/>
    <mergeCell ref="A60:B60"/>
    <mergeCell ref="A65:J65"/>
    <mergeCell ref="A67:J67"/>
    <mergeCell ref="A81:B81"/>
    <mergeCell ref="B66:J66"/>
    <mergeCell ref="A48:J48"/>
    <mergeCell ref="A17:B17"/>
    <mergeCell ref="A18:B18"/>
    <mergeCell ref="A19:B19"/>
    <mergeCell ref="A40:B40"/>
    <mergeCell ref="A41:B41"/>
    <mergeCell ref="A42:B42"/>
    <mergeCell ref="A43:B43"/>
    <mergeCell ref="A44:B44"/>
    <mergeCell ref="A45:B45"/>
    <mergeCell ref="A22:B22"/>
    <mergeCell ref="A23:B23"/>
    <mergeCell ref="A24:B24"/>
    <mergeCell ref="A25:B25"/>
    <mergeCell ref="A26:B26"/>
    <mergeCell ref="A27:B27"/>
    <mergeCell ref="A28:B28"/>
    <mergeCell ref="A29:B29"/>
    <mergeCell ref="A31:J31"/>
    <mergeCell ref="A38:B38"/>
    <mergeCell ref="A20:B20"/>
    <mergeCell ref="A21:B21"/>
    <mergeCell ref="A30:H30"/>
    <mergeCell ref="A58:B58"/>
    <mergeCell ref="A59:B59"/>
    <mergeCell ref="C32:C33"/>
    <mergeCell ref="D32:J33"/>
    <mergeCell ref="A34:B34"/>
    <mergeCell ref="A35:B35"/>
    <mergeCell ref="A36:B36"/>
    <mergeCell ref="A37:B37"/>
    <mergeCell ref="A39:B39"/>
    <mergeCell ref="C49:C50"/>
    <mergeCell ref="D49:J50"/>
    <mergeCell ref="A51:B51"/>
    <mergeCell ref="A52:B52"/>
    <mergeCell ref="A53:B53"/>
    <mergeCell ref="A54:B54"/>
    <mergeCell ref="A55:B55"/>
    <mergeCell ref="A56:B56"/>
    <mergeCell ref="A57:B57"/>
    <mergeCell ref="A14:J14"/>
    <mergeCell ref="C15:C16"/>
    <mergeCell ref="D15:J16"/>
    <mergeCell ref="A1:J1"/>
    <mergeCell ref="B2:J2"/>
    <mergeCell ref="B3:J3"/>
    <mergeCell ref="A4:J4"/>
    <mergeCell ref="A11:H11"/>
    <mergeCell ref="B5:J5"/>
    <mergeCell ref="A6:J6"/>
    <mergeCell ref="C7:C8"/>
    <mergeCell ref="D7:J8"/>
    <mergeCell ref="A9:B9"/>
    <mergeCell ref="A10:B10"/>
    <mergeCell ref="A12:J12"/>
    <mergeCell ref="B13:J13"/>
    <mergeCell ref="A111:J111"/>
    <mergeCell ref="C124:C125"/>
    <mergeCell ref="D124:J125"/>
    <mergeCell ref="A126:B126"/>
    <mergeCell ref="A127:B127"/>
    <mergeCell ref="D168:F168"/>
    <mergeCell ref="C112:C113"/>
    <mergeCell ref="D112:J113"/>
    <mergeCell ref="A114:B114"/>
    <mergeCell ref="A115:B115"/>
    <mergeCell ref="A116:H116"/>
    <mergeCell ref="A128:H128"/>
    <mergeCell ref="A129:J129"/>
    <mergeCell ref="C136:C137"/>
    <mergeCell ref="D136:J137"/>
    <mergeCell ref="A138:B138"/>
    <mergeCell ref="A135:J135"/>
    <mergeCell ref="A117:J117"/>
    <mergeCell ref="C118:C119"/>
    <mergeCell ref="D118:J119"/>
    <mergeCell ref="A164:J164"/>
    <mergeCell ref="A152:J152"/>
    <mergeCell ref="A148:B148"/>
    <mergeCell ref="B142:J142"/>
  </mergeCells>
  <printOptions horizontalCentered="1"/>
  <pageMargins left="0.51181102362204722" right="0.51181102362204722" top="0.39370078740157483" bottom="0.19685039370078741" header="0.31496062992125984" footer="0.31496062992125984"/>
  <pageSetup paperSize="9" scale="102" orientation="landscape" r:id="rId1"/>
  <rowBreaks count="5" manualBreakCount="5">
    <brk id="65" max="9" man="1"/>
    <brk id="74" max="9" man="1"/>
    <brk id="97" max="9" man="1"/>
    <brk id="140" max="9" man="1"/>
    <brk id="16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BreakPreview" zoomScaleNormal="100" zoomScaleSheetLayoutView="100" workbookViewId="0">
      <selection activeCell="E12" sqref="E12"/>
    </sheetView>
  </sheetViews>
  <sheetFormatPr defaultRowHeight="12.75"/>
  <cols>
    <col min="1" max="1" width="5.1640625" customWidth="1"/>
    <col min="2" max="2" width="20.83203125" customWidth="1"/>
    <col min="3" max="3" width="16.1640625" customWidth="1"/>
    <col min="4" max="4" width="18.83203125" customWidth="1"/>
    <col min="5" max="5" width="14.1640625" customWidth="1"/>
    <col min="6" max="6" width="18.83203125" customWidth="1"/>
    <col min="7" max="7" width="20.6640625" customWidth="1"/>
    <col min="8" max="8" width="18.6640625" customWidth="1"/>
    <col min="9" max="9" width="22" customWidth="1"/>
    <col min="10" max="10" width="20.6640625" customWidth="1"/>
    <col min="11" max="12" width="20.5" customWidth="1"/>
    <col min="13" max="13" width="20.33203125" customWidth="1"/>
  </cols>
  <sheetData>
    <row r="1" spans="1:13">
      <c r="A1" s="255"/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7"/>
    </row>
    <row r="2" spans="1:13" ht="76.5" customHeight="1">
      <c r="A2" s="23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34"/>
    </row>
    <row r="3" spans="1:13">
      <c r="A3" s="236" t="str">
        <f>'[1]PLANILHA ORÇAMENTÁRIA (PRAÇA F)'!A6:I6</f>
        <v>PREFEITURA: PREFEITURA MUNICIPAL DE BRASILIA DE MINAS /MG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8"/>
    </row>
    <row r="4" spans="1:13">
      <c r="A4" s="239" t="str">
        <f>'PLANILHA ORÇAMENTÁRIA'!$A$6:$G$6</f>
        <v>OBRA: CONSTRUÇÃO DE CAMPO DE FUTEBOL DE FERNÃO DIAS</v>
      </c>
      <c r="B4" s="240"/>
      <c r="C4" s="240"/>
      <c r="D4" s="240"/>
      <c r="E4" s="240"/>
      <c r="F4" s="240"/>
      <c r="G4" s="240"/>
      <c r="H4" s="240"/>
      <c r="I4" s="241"/>
      <c r="J4" s="88"/>
      <c r="K4" s="88"/>
      <c r="L4" s="88"/>
      <c r="M4" s="89" t="str">
        <f>'PLANILHA ORÇAMENTÁRIA'!H6</f>
        <v>DATA: 05/09/2025</v>
      </c>
    </row>
    <row r="5" spans="1:13">
      <c r="A5" s="242" t="str">
        <f>'PLANILHA ORÇAMENTÁRIA'!$A$7:$E$7</f>
        <v>LOCAL:  FERNÃO DIAS - BRASILIA DE MINAS/MG</v>
      </c>
      <c r="B5" s="243"/>
      <c r="C5" s="243"/>
      <c r="D5" s="243"/>
      <c r="E5" s="243"/>
      <c r="F5" s="243"/>
      <c r="G5" s="243"/>
      <c r="H5" s="243"/>
      <c r="I5" s="244"/>
      <c r="J5" s="135" t="s">
        <v>109</v>
      </c>
      <c r="K5" s="135"/>
      <c r="L5" s="120" t="s">
        <v>113</v>
      </c>
      <c r="M5" s="90">
        <f>'[1]PLANILHA ORÇAMENTÁRIA (PRAÇA F)'!I11</f>
        <v>0.28449999999999998</v>
      </c>
    </row>
    <row r="6" spans="1:13">
      <c r="A6" s="245" t="s">
        <v>110</v>
      </c>
      <c r="B6" s="246"/>
      <c r="C6" s="246"/>
      <c r="D6" s="246"/>
      <c r="E6" s="246"/>
      <c r="F6" s="246"/>
      <c r="G6" s="246"/>
      <c r="H6" s="246"/>
      <c r="I6" s="247"/>
      <c r="J6" s="253" t="s">
        <v>84</v>
      </c>
      <c r="K6" s="251" t="s">
        <v>85</v>
      </c>
      <c r="L6" s="232" t="s">
        <v>111</v>
      </c>
      <c r="M6" s="234" t="s">
        <v>87</v>
      </c>
    </row>
    <row r="7" spans="1:13" ht="12.75" customHeight="1">
      <c r="A7" s="248" t="s">
        <v>112</v>
      </c>
      <c r="B7" s="249"/>
      <c r="C7" s="249"/>
      <c r="D7" s="249"/>
      <c r="E7" s="249"/>
      <c r="F7" s="249"/>
      <c r="G7" s="249"/>
      <c r="H7" s="249"/>
      <c r="I7" s="250"/>
      <c r="J7" s="254"/>
      <c r="K7" s="252"/>
      <c r="L7" s="233"/>
      <c r="M7" s="235"/>
    </row>
    <row r="8" spans="1:13" ht="15.75">
      <c r="A8" s="259" t="s">
        <v>114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1"/>
    </row>
    <row r="9" spans="1:13" ht="15.75">
      <c r="A9" s="262" t="s">
        <v>91</v>
      </c>
      <c r="B9" s="263" t="s">
        <v>115</v>
      </c>
      <c r="C9" s="263"/>
      <c r="D9" s="263" t="s">
        <v>116</v>
      </c>
      <c r="E9" s="264" t="s">
        <v>117</v>
      </c>
      <c r="F9" s="91"/>
      <c r="G9" s="91"/>
      <c r="H9" s="91"/>
      <c r="I9" s="91"/>
      <c r="J9" s="92"/>
      <c r="K9" s="91" t="s">
        <v>118</v>
      </c>
      <c r="L9" s="93"/>
      <c r="M9" s="93"/>
    </row>
    <row r="10" spans="1:13" ht="15.75">
      <c r="A10" s="262"/>
      <c r="B10" s="263"/>
      <c r="C10" s="263"/>
      <c r="D10" s="263"/>
      <c r="E10" s="264"/>
      <c r="F10" s="265" t="s">
        <v>119</v>
      </c>
      <c r="G10" s="265"/>
      <c r="H10" s="265" t="s">
        <v>120</v>
      </c>
      <c r="I10" s="265"/>
      <c r="J10" s="265" t="s">
        <v>121</v>
      </c>
      <c r="K10" s="265"/>
      <c r="L10" s="265" t="s">
        <v>122</v>
      </c>
      <c r="M10" s="265"/>
    </row>
    <row r="11" spans="1:13" ht="15.75">
      <c r="A11" s="262"/>
      <c r="B11" s="263"/>
      <c r="C11" s="263"/>
      <c r="D11" s="263"/>
      <c r="E11" s="264"/>
      <c r="F11" s="94" t="s">
        <v>123</v>
      </c>
      <c r="G11" s="94" t="s">
        <v>124</v>
      </c>
      <c r="H11" s="94" t="s">
        <v>123</v>
      </c>
      <c r="I11" s="94" t="s">
        <v>124</v>
      </c>
      <c r="J11" s="94" t="s">
        <v>123</v>
      </c>
      <c r="K11" s="94" t="s">
        <v>124</v>
      </c>
      <c r="L11" s="94" t="s">
        <v>123</v>
      </c>
      <c r="M11" s="94" t="s">
        <v>124</v>
      </c>
    </row>
    <row r="12" spans="1:13" ht="15.75">
      <c r="A12" s="65"/>
      <c r="B12" s="273" t="s">
        <v>125</v>
      </c>
      <c r="C12" s="274"/>
      <c r="D12" s="66"/>
      <c r="E12" s="67"/>
      <c r="F12" s="68"/>
      <c r="G12" s="68"/>
      <c r="H12" s="68"/>
      <c r="I12" s="68"/>
      <c r="J12" s="68"/>
      <c r="K12" s="68"/>
      <c r="L12" s="68"/>
      <c r="M12" s="68"/>
    </row>
    <row r="13" spans="1:13" ht="18">
      <c r="A13" s="69">
        <v>1</v>
      </c>
      <c r="B13" s="275" t="str">
        <f>'PLANILHA ORÇAMENTÁRIA'!D12</f>
        <v xml:space="preserve">SERVIÇOS PRELIMINARES </v>
      </c>
      <c r="C13" s="276"/>
      <c r="D13" s="121">
        <f>'PLANILHA ORÇAMENTÁRIA'!I14</f>
        <v>2949.08</v>
      </c>
      <c r="E13" s="122">
        <f>IF(D13=0,0,D13/D$18)</f>
        <v>8.1335494241208828E-3</v>
      </c>
      <c r="F13" s="123">
        <v>1</v>
      </c>
      <c r="G13" s="124">
        <f>F13</f>
        <v>1</v>
      </c>
      <c r="H13" s="123"/>
      <c r="I13" s="124">
        <f t="shared" ref="I13:I14" si="0">G13+H13</f>
        <v>1</v>
      </c>
      <c r="J13" s="123"/>
      <c r="K13" s="124">
        <f t="shared" ref="K13:K14" si="1">I13+J13</f>
        <v>1</v>
      </c>
      <c r="L13" s="123"/>
      <c r="M13" s="124">
        <f t="shared" ref="M13:M14" si="2">K13+L13</f>
        <v>1</v>
      </c>
    </row>
    <row r="14" spans="1:13" ht="18">
      <c r="A14" s="69">
        <v>2</v>
      </c>
      <c r="B14" s="275" t="str">
        <f>'PLANILHA ORÇAMENTÁRIA'!D16</f>
        <v>TERRAPLANAGEM</v>
      </c>
      <c r="C14" s="276"/>
      <c r="D14" s="121">
        <f>'PLANILHA ORÇAMENTÁRIA'!I19</f>
        <v>79741.430000000008</v>
      </c>
      <c r="E14" s="122">
        <f t="shared" ref="E14:E17" si="3">IF(D14=0,0,D14/D$18)</f>
        <v>0.21992650659021654</v>
      </c>
      <c r="F14" s="123">
        <v>1</v>
      </c>
      <c r="G14" s="124">
        <f>F14</f>
        <v>1</v>
      </c>
      <c r="H14" s="123"/>
      <c r="I14" s="124">
        <f t="shared" si="0"/>
        <v>1</v>
      </c>
      <c r="J14" s="123"/>
      <c r="K14" s="124">
        <f t="shared" si="1"/>
        <v>1</v>
      </c>
      <c r="L14" s="123"/>
      <c r="M14" s="124">
        <f t="shared" si="2"/>
        <v>1</v>
      </c>
    </row>
    <row r="15" spans="1:13" ht="18">
      <c r="A15" s="69">
        <v>3</v>
      </c>
      <c r="B15" s="275" t="str">
        <f>'PLANILHA ORÇAMENTÁRIA'!D21</f>
        <v>FUNDAÇÃO</v>
      </c>
      <c r="C15" s="276"/>
      <c r="D15" s="121">
        <f>'PLANILHA ORÇAMENTÁRIA'!I33</f>
        <v>63243.11</v>
      </c>
      <c r="E15" s="122">
        <f t="shared" si="3"/>
        <v>0.17442421396507171</v>
      </c>
      <c r="F15" s="125"/>
      <c r="G15" s="126"/>
      <c r="H15" s="125">
        <v>0.5</v>
      </c>
      <c r="I15" s="126"/>
      <c r="J15" s="125">
        <v>0.5</v>
      </c>
      <c r="K15" s="126"/>
      <c r="L15" s="125"/>
      <c r="M15" s="126"/>
    </row>
    <row r="16" spans="1:13" ht="18">
      <c r="A16" s="69">
        <v>4</v>
      </c>
      <c r="B16" s="275" t="str">
        <f>'PLANILHA ORÇAMENTÁRIA'!D35</f>
        <v>SERRALHERIA</v>
      </c>
      <c r="C16" s="276"/>
      <c r="D16" s="121">
        <f>'PLANILHA ORÇAMENTÁRIA'!I37</f>
        <v>211490.09</v>
      </c>
      <c r="E16" s="122">
        <f t="shared" si="3"/>
        <v>0.5832887204574897</v>
      </c>
      <c r="F16" s="125"/>
      <c r="G16" s="126"/>
      <c r="H16" s="125"/>
      <c r="I16" s="126"/>
      <c r="J16" s="125">
        <v>0.5</v>
      </c>
      <c r="K16" s="126"/>
      <c r="L16" s="125">
        <v>0.5</v>
      </c>
      <c r="M16" s="126"/>
    </row>
    <row r="17" spans="1:13" ht="18">
      <c r="A17" s="69">
        <v>5</v>
      </c>
      <c r="B17" s="275" t="str">
        <f>'PLANILHA ORÇAMENTÁRIA'!D39</f>
        <v>PINTURA</v>
      </c>
      <c r="C17" s="276"/>
      <c r="D17" s="121">
        <f>'PLANILHA ORÇAMENTÁRIA'!I41</f>
        <v>5158.46</v>
      </c>
      <c r="E17" s="122">
        <f t="shared" si="3"/>
        <v>1.4227009563101242E-2</v>
      </c>
      <c r="F17" s="125"/>
      <c r="G17" s="126"/>
      <c r="H17" s="125"/>
      <c r="I17" s="126"/>
      <c r="J17" s="125"/>
      <c r="K17" s="126"/>
      <c r="L17" s="125">
        <v>1</v>
      </c>
      <c r="M17" s="126"/>
    </row>
    <row r="18" spans="1:13" ht="18.75" thickBot="1">
      <c r="A18" s="266" t="s">
        <v>126</v>
      </c>
      <c r="B18" s="267"/>
      <c r="C18" s="268"/>
      <c r="D18" s="127">
        <f>SUM(D13:D17)</f>
        <v>362582.17</v>
      </c>
      <c r="E18" s="128">
        <f>SUM(E13:E17)</f>
        <v>1</v>
      </c>
      <c r="F18" s="128"/>
      <c r="G18" s="129"/>
      <c r="H18" s="128"/>
      <c r="I18" s="129"/>
      <c r="J18" s="128"/>
      <c r="K18" s="129"/>
      <c r="L18" s="128"/>
      <c r="M18" s="129"/>
    </row>
    <row r="19" spans="1:13" ht="20.25">
      <c r="A19" s="269" t="s">
        <v>127</v>
      </c>
      <c r="B19" s="270"/>
      <c r="C19" s="271"/>
      <c r="D19" s="130"/>
      <c r="E19" s="131"/>
      <c r="F19" s="132">
        <f>$D$13*F13+$D$14*F14+$D$15*F15+$D$16*F16+$D$17*F17</f>
        <v>82690.510000000009</v>
      </c>
      <c r="G19" s="133">
        <f>F19</f>
        <v>82690.510000000009</v>
      </c>
      <c r="H19" s="132">
        <f>$D$13*H13+$D$14*H14+$D$15*H15+$D$16*H16+$D$17*H17</f>
        <v>31621.555</v>
      </c>
      <c r="I19" s="133">
        <f>G19+H19</f>
        <v>114312.065</v>
      </c>
      <c r="J19" s="132">
        <f>$D$13*J13+$D$14*J14+$D$15*J15+$D$16*J16+$D$17*J17</f>
        <v>137366.6</v>
      </c>
      <c r="K19" s="133">
        <f>I19+J19</f>
        <v>251678.66500000001</v>
      </c>
      <c r="L19" s="132">
        <f>$D$13*L13+$D$14*L14+$D$15*L15+$D$16*L16+$D$17*L17</f>
        <v>110903.505</v>
      </c>
      <c r="M19" s="134">
        <f>K19+L19</f>
        <v>362582.17000000004</v>
      </c>
    </row>
    <row r="20" spans="1:13" ht="54.75" customHeight="1">
      <c r="A20" s="70"/>
      <c r="B20" s="71"/>
      <c r="C20" s="71"/>
      <c r="D20" s="71"/>
      <c r="E20" s="71"/>
      <c r="F20" s="72"/>
      <c r="G20" s="72"/>
      <c r="H20" s="71"/>
      <c r="I20" s="73"/>
      <c r="J20" s="73"/>
      <c r="K20" s="73"/>
      <c r="L20" s="74"/>
      <c r="M20" s="75"/>
    </row>
    <row r="21" spans="1:13" ht="41.25" customHeight="1">
      <c r="A21" s="76"/>
      <c r="B21" s="77"/>
      <c r="C21" s="272" t="str">
        <f>'[2]Memória de Cálculo '!B70</f>
        <v>_______________________________________
Prefeito Municipal
Marcus Vinicius Ferreira Carvalho</v>
      </c>
      <c r="D21" s="272"/>
      <c r="E21" s="272"/>
      <c r="F21" s="15"/>
      <c r="G21" s="15"/>
      <c r="H21" s="176" t="s">
        <v>128</v>
      </c>
      <c r="I21" s="176"/>
      <c r="J21" s="176"/>
      <c r="K21" s="15"/>
      <c r="L21" s="15"/>
      <c r="M21" s="78"/>
    </row>
    <row r="22" spans="1:13" ht="29.25" customHeight="1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1"/>
    </row>
  </sheetData>
  <mergeCells count="30">
    <mergeCell ref="A18:C18"/>
    <mergeCell ref="A19:C19"/>
    <mergeCell ref="C21:E21"/>
    <mergeCell ref="H21:J21"/>
    <mergeCell ref="B12:C12"/>
    <mergeCell ref="B13:C13"/>
    <mergeCell ref="B14:C14"/>
    <mergeCell ref="B15:C15"/>
    <mergeCell ref="B16:C16"/>
    <mergeCell ref="B17:C17"/>
    <mergeCell ref="A1:M1"/>
    <mergeCell ref="A2:M2"/>
    <mergeCell ref="A8:M8"/>
    <mergeCell ref="A9:A11"/>
    <mergeCell ref="B9:C11"/>
    <mergeCell ref="D9:D11"/>
    <mergeCell ref="E9:E11"/>
    <mergeCell ref="F10:G10"/>
    <mergeCell ref="H10:I10"/>
    <mergeCell ref="J10:K10"/>
    <mergeCell ref="L10:M10"/>
    <mergeCell ref="L6:L7"/>
    <mergeCell ref="M6:M7"/>
    <mergeCell ref="A3:M3"/>
    <mergeCell ref="A4:I4"/>
    <mergeCell ref="A5:I5"/>
    <mergeCell ref="A6:I6"/>
    <mergeCell ref="A7:I7"/>
    <mergeCell ref="K6:K7"/>
    <mergeCell ref="J6:J7"/>
  </mergeCells>
  <pageMargins left="0.51181102362204722" right="0.51181102362204722" top="0.78740157480314965" bottom="0.78740157480314965" header="0.31496062992125984" footer="0.31496062992125984"/>
  <pageSetup paperSize="9"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13" zoomScale="130" zoomScaleNormal="145" zoomScaleSheetLayoutView="130" workbookViewId="0">
      <selection activeCell="L8" sqref="L8"/>
    </sheetView>
  </sheetViews>
  <sheetFormatPr defaultRowHeight="12.75"/>
  <cols>
    <col min="1" max="1" width="19.83203125" customWidth="1"/>
  </cols>
  <sheetData>
    <row r="1" spans="1:11">
      <c r="A1" s="277" t="s">
        <v>22</v>
      </c>
      <c r="B1" s="278"/>
      <c r="C1" s="278"/>
      <c r="D1" s="278"/>
      <c r="E1" s="278"/>
      <c r="F1" s="278"/>
      <c r="G1" s="278"/>
      <c r="H1" s="278"/>
      <c r="I1" s="278"/>
      <c r="J1" s="278"/>
      <c r="K1" s="15"/>
    </row>
    <row r="2" spans="1:11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15"/>
    </row>
    <row r="3" spans="1:1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15"/>
    </row>
    <row r="4" spans="1:11">
      <c r="A4" s="278"/>
      <c r="B4" s="278"/>
      <c r="C4" s="278"/>
      <c r="D4" s="278"/>
      <c r="E4" s="278"/>
      <c r="F4" s="278"/>
      <c r="G4" s="278"/>
      <c r="H4" s="278"/>
      <c r="I4" s="278"/>
      <c r="J4" s="278"/>
      <c r="K4" s="15"/>
    </row>
    <row r="5" spans="1:11">
      <c r="A5" s="278"/>
      <c r="B5" s="278"/>
      <c r="C5" s="278"/>
      <c r="D5" s="278"/>
      <c r="E5" s="278"/>
      <c r="F5" s="278"/>
      <c r="G5" s="278"/>
      <c r="H5" s="278"/>
      <c r="I5" s="278"/>
      <c r="J5" s="278"/>
      <c r="K5" s="15"/>
    </row>
    <row r="6" spans="1:11">
      <c r="A6" s="278"/>
      <c r="B6" s="278"/>
      <c r="C6" s="278"/>
      <c r="D6" s="278"/>
      <c r="E6" s="278"/>
      <c r="F6" s="278"/>
      <c r="G6" s="278"/>
      <c r="H6" s="278"/>
      <c r="I6" s="278"/>
      <c r="J6" s="278"/>
      <c r="K6" s="15"/>
    </row>
    <row r="7" spans="1:1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5.75">
      <c r="A9" s="279" t="s">
        <v>23</v>
      </c>
      <c r="B9" s="279"/>
      <c r="C9" s="279"/>
      <c r="D9" s="279"/>
      <c r="E9" s="279"/>
      <c r="F9" s="279"/>
      <c r="G9" s="279"/>
      <c r="H9" s="279"/>
      <c r="I9" s="279"/>
      <c r="J9" s="279"/>
      <c r="K9" s="15"/>
    </row>
    <row r="10" spans="1:1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ht="19.5">
      <c r="A11" s="280" t="s">
        <v>24</v>
      </c>
      <c r="B11" s="281"/>
      <c r="C11" s="281"/>
      <c r="D11" s="281"/>
      <c r="E11" s="281"/>
      <c r="F11" s="281"/>
      <c r="G11" s="281"/>
      <c r="H11" s="281"/>
      <c r="I11" s="281"/>
      <c r="J11" s="282"/>
      <c r="K11" s="15"/>
    </row>
    <row r="12" spans="1:11">
      <c r="A12" s="283" t="s">
        <v>25</v>
      </c>
      <c r="B12" s="283" t="s">
        <v>26</v>
      </c>
      <c r="C12" s="283" t="s">
        <v>27</v>
      </c>
      <c r="D12" s="283"/>
      <c r="E12" s="283"/>
      <c r="F12" s="283"/>
      <c r="G12" s="283"/>
      <c r="H12" s="283"/>
      <c r="I12" s="283"/>
      <c r="J12" s="283" t="s">
        <v>28</v>
      </c>
      <c r="K12" s="15"/>
    </row>
    <row r="13" spans="1:11">
      <c r="A13" s="283"/>
      <c r="B13" s="283"/>
      <c r="C13" s="284" t="s">
        <v>29</v>
      </c>
      <c r="D13" s="285"/>
      <c r="E13" s="285"/>
      <c r="F13" s="285"/>
      <c r="G13" s="285" t="s">
        <v>30</v>
      </c>
      <c r="H13" s="285"/>
      <c r="I13" s="286"/>
      <c r="J13" s="283"/>
      <c r="K13" s="15"/>
    </row>
    <row r="14" spans="1:11" ht="33.75">
      <c r="A14" s="283"/>
      <c r="B14" s="283"/>
      <c r="C14" s="17">
        <v>0.02</v>
      </c>
      <c r="D14" s="17">
        <v>0.03</v>
      </c>
      <c r="E14" s="17">
        <v>0.04</v>
      </c>
      <c r="F14" s="17">
        <v>0.05</v>
      </c>
      <c r="G14" s="16" t="s">
        <v>31</v>
      </c>
      <c r="H14" s="284" t="s">
        <v>32</v>
      </c>
      <c r="I14" s="286"/>
      <c r="J14" s="283"/>
      <c r="K14" s="15"/>
    </row>
    <row r="15" spans="1:11">
      <c r="A15" s="18" t="s">
        <v>33</v>
      </c>
      <c r="B15" s="19" t="s">
        <v>34</v>
      </c>
      <c r="C15" s="20">
        <v>1</v>
      </c>
      <c r="D15" s="20">
        <v>1</v>
      </c>
      <c r="E15" s="20">
        <v>1</v>
      </c>
      <c r="F15" s="20">
        <v>1</v>
      </c>
      <c r="G15" s="20">
        <v>1</v>
      </c>
      <c r="H15" s="289">
        <v>1</v>
      </c>
      <c r="I15" s="290"/>
      <c r="J15" s="21"/>
      <c r="K15" s="15"/>
    </row>
    <row r="16" spans="1:11" ht="22.5">
      <c r="A16" s="18" t="s">
        <v>35</v>
      </c>
      <c r="B16" s="19" t="s">
        <v>36</v>
      </c>
      <c r="C16" s="22">
        <v>5.5E-2</v>
      </c>
      <c r="D16" s="22">
        <v>5.5E-2</v>
      </c>
      <c r="E16" s="22">
        <v>5.5E-2</v>
      </c>
      <c r="F16" s="22">
        <v>5.5E-2</v>
      </c>
      <c r="G16" s="22">
        <v>3.4199999999999994E-2</v>
      </c>
      <c r="H16" s="291">
        <v>0.04</v>
      </c>
      <c r="I16" s="292"/>
      <c r="J16" s="21" t="s">
        <v>34</v>
      </c>
      <c r="K16" s="15"/>
    </row>
    <row r="17" spans="1:11">
      <c r="A17" s="18" t="s">
        <v>37</v>
      </c>
      <c r="B17" s="19" t="s">
        <v>38</v>
      </c>
      <c r="C17" s="22">
        <v>7.4999999999999997E-2</v>
      </c>
      <c r="D17" s="22">
        <v>7.4999999999999997E-2</v>
      </c>
      <c r="E17" s="22">
        <v>7.4999999999999997E-2</v>
      </c>
      <c r="F17" s="22">
        <v>7.4999999999999997E-2</v>
      </c>
      <c r="G17" s="23">
        <v>4.9399999999999999E-2</v>
      </c>
      <c r="H17" s="293">
        <v>6.1600000000000002E-2</v>
      </c>
      <c r="I17" s="294"/>
      <c r="J17" s="21" t="s">
        <v>34</v>
      </c>
      <c r="K17" s="15"/>
    </row>
    <row r="18" spans="1:11" ht="22.5">
      <c r="A18" s="18" t="s">
        <v>39</v>
      </c>
      <c r="B18" s="19" t="s">
        <v>40</v>
      </c>
      <c r="C18" s="22">
        <v>9.6469999999999993E-3</v>
      </c>
      <c r="D18" s="22">
        <v>9.6469999999999993E-3</v>
      </c>
      <c r="E18" s="22">
        <v>9.6469999999999993E-3</v>
      </c>
      <c r="F18" s="22">
        <v>9.6469999999999993E-3</v>
      </c>
      <c r="G18" s="22">
        <v>9.6469999999999993E-3</v>
      </c>
      <c r="H18" s="291">
        <v>9.6469999999999993E-3</v>
      </c>
      <c r="I18" s="292"/>
      <c r="J18" s="21" t="s">
        <v>34</v>
      </c>
      <c r="K18" s="15"/>
    </row>
    <row r="19" spans="1:11" ht="22.5">
      <c r="A19" s="18" t="s">
        <v>41</v>
      </c>
      <c r="B19" s="24"/>
      <c r="C19" s="25">
        <f>SUM(C20:C21)</f>
        <v>2.2699999999999998E-2</v>
      </c>
      <c r="D19" s="25">
        <f>SUM(D20:D21)</f>
        <v>2.2699999999999998E-2</v>
      </c>
      <c r="E19" s="25">
        <f>SUM(E20:E21)</f>
        <v>2.2699999999999998E-2</v>
      </c>
      <c r="F19" s="25">
        <f>SUM(F20:F21)</f>
        <v>2.2699999999999998E-2</v>
      </c>
      <c r="G19" s="25">
        <f>SUM(G20:G21)</f>
        <v>1.29E-2</v>
      </c>
      <c r="H19" s="295">
        <f>SUM(H20:I21)</f>
        <v>1.77E-2</v>
      </c>
      <c r="I19" s="296"/>
      <c r="J19" s="26" t="s">
        <v>34</v>
      </c>
      <c r="K19" s="15"/>
    </row>
    <row r="20" spans="1:11" ht="22.5">
      <c r="A20" s="18" t="s">
        <v>42</v>
      </c>
      <c r="B20" s="19" t="s">
        <v>43</v>
      </c>
      <c r="C20" s="22">
        <v>0.01</v>
      </c>
      <c r="D20" s="22">
        <v>0.01</v>
      </c>
      <c r="E20" s="22">
        <v>0.01</v>
      </c>
      <c r="F20" s="22">
        <v>0.01</v>
      </c>
      <c r="G20" s="22">
        <v>5.3E-3</v>
      </c>
      <c r="H20" s="291">
        <v>8.0000000000000002E-3</v>
      </c>
      <c r="I20" s="292"/>
      <c r="J20" s="21" t="s">
        <v>34</v>
      </c>
      <c r="K20" s="15"/>
    </row>
    <row r="21" spans="1:11">
      <c r="A21" s="18" t="s">
        <v>44</v>
      </c>
      <c r="B21" s="19" t="s">
        <v>45</v>
      </c>
      <c r="C21" s="22">
        <v>1.2699999999999999E-2</v>
      </c>
      <c r="D21" s="22">
        <v>1.2699999999999999E-2</v>
      </c>
      <c r="E21" s="22">
        <v>1.2699999999999999E-2</v>
      </c>
      <c r="F21" s="22">
        <v>1.2699999999999999E-2</v>
      </c>
      <c r="G21" s="22">
        <v>7.6E-3</v>
      </c>
      <c r="H21" s="291">
        <v>9.7000000000000003E-3</v>
      </c>
      <c r="I21" s="292"/>
      <c r="J21" s="21" t="s">
        <v>34</v>
      </c>
      <c r="K21" s="15"/>
    </row>
    <row r="22" spans="1:11">
      <c r="A22" s="18" t="s">
        <v>46</v>
      </c>
      <c r="B22" s="19" t="s">
        <v>47</v>
      </c>
      <c r="C22" s="25">
        <f>SUM(C23:C25)</f>
        <v>4.65E-2</v>
      </c>
      <c r="D22" s="25">
        <f>SUM(D23:D25)</f>
        <v>5.1499999999999997E-2</v>
      </c>
      <c r="E22" s="25">
        <f>SUM(E23:E25)</f>
        <v>5.6499999999999995E-2</v>
      </c>
      <c r="F22" s="25">
        <f>SUM(F23:F25)</f>
        <v>6.1499999999999999E-2</v>
      </c>
      <c r="G22" s="25">
        <f>SUM(G23:G25)</f>
        <v>3.6499999999999998E-2</v>
      </c>
      <c r="H22" s="295">
        <f>SUM(H23:I25)</f>
        <v>6.1499999999999999E-2</v>
      </c>
      <c r="I22" s="296"/>
      <c r="J22" s="26" t="s">
        <v>48</v>
      </c>
      <c r="K22" s="15"/>
    </row>
    <row r="23" spans="1:11">
      <c r="A23" s="18" t="s">
        <v>49</v>
      </c>
      <c r="B23" s="24" t="s">
        <v>50</v>
      </c>
      <c r="C23" s="27">
        <v>0.01</v>
      </c>
      <c r="D23" s="27">
        <v>1.4999999999999999E-2</v>
      </c>
      <c r="E23" s="27">
        <v>0.02</v>
      </c>
      <c r="F23" s="27">
        <v>2.5000000000000001E-2</v>
      </c>
      <c r="G23" s="27" t="s">
        <v>51</v>
      </c>
      <c r="H23" s="297">
        <v>2.5000000000000001E-2</v>
      </c>
      <c r="I23" s="298"/>
      <c r="J23" s="21" t="s">
        <v>48</v>
      </c>
      <c r="K23" s="15"/>
    </row>
    <row r="24" spans="1:11">
      <c r="A24" s="18" t="s">
        <v>52</v>
      </c>
      <c r="B24" s="24" t="s">
        <v>52</v>
      </c>
      <c r="C24" s="22">
        <v>6.4999999999999997E-3</v>
      </c>
      <c r="D24" s="22">
        <v>6.4999999999999997E-3</v>
      </c>
      <c r="E24" s="22">
        <v>6.4999999999999997E-3</v>
      </c>
      <c r="F24" s="22">
        <v>6.4999999999999997E-3</v>
      </c>
      <c r="G24" s="22">
        <v>6.4999999999999997E-3</v>
      </c>
      <c r="H24" s="291">
        <v>6.4999999999999997E-3</v>
      </c>
      <c r="I24" s="292"/>
      <c r="J24" s="21" t="s">
        <v>48</v>
      </c>
      <c r="K24" s="15"/>
    </row>
    <row r="25" spans="1:11">
      <c r="A25" s="18" t="s">
        <v>53</v>
      </c>
      <c r="B25" s="24" t="s">
        <v>51</v>
      </c>
      <c r="C25" s="22">
        <v>0.03</v>
      </c>
      <c r="D25" s="22">
        <v>0.03</v>
      </c>
      <c r="E25" s="22">
        <v>0.03</v>
      </c>
      <c r="F25" s="22">
        <v>0.03</v>
      </c>
      <c r="G25" s="22">
        <v>0.03</v>
      </c>
      <c r="H25" s="291">
        <v>0.03</v>
      </c>
      <c r="I25" s="292"/>
      <c r="J25" s="21" t="s">
        <v>48</v>
      </c>
      <c r="K25" s="15"/>
    </row>
    <row r="26" spans="1:11">
      <c r="A26" s="18" t="s">
        <v>54</v>
      </c>
      <c r="B26" s="24" t="s">
        <v>55</v>
      </c>
      <c r="C26" s="28">
        <v>4.4999999999999998E-2</v>
      </c>
      <c r="D26" s="28">
        <v>4.4999999999999998E-2</v>
      </c>
      <c r="E26" s="28">
        <v>4.4999999999999998E-2</v>
      </c>
      <c r="F26" s="28">
        <v>4.4999999999999998E-2</v>
      </c>
      <c r="G26" s="28">
        <v>4.4999999999999998E-2</v>
      </c>
      <c r="H26" s="287">
        <v>4.4999999999999998E-2</v>
      </c>
      <c r="I26" s="288"/>
      <c r="J26" s="21" t="s">
        <v>48</v>
      </c>
      <c r="K26" s="15"/>
    </row>
    <row r="27" spans="1:11">
      <c r="A27" s="299"/>
      <c r="B27" s="300"/>
      <c r="C27" s="300"/>
      <c r="D27" s="300"/>
      <c r="E27" s="300"/>
      <c r="F27" s="300"/>
      <c r="G27" s="300"/>
      <c r="H27" s="300"/>
      <c r="I27" s="300"/>
      <c r="J27" s="301"/>
      <c r="K27" s="15"/>
    </row>
    <row r="28" spans="1:11">
      <c r="A28" s="302" t="s">
        <v>56</v>
      </c>
      <c r="B28" s="303"/>
      <c r="C28" s="306" t="s">
        <v>57</v>
      </c>
      <c r="D28" s="307"/>
      <c r="E28" s="307"/>
      <c r="F28" s="307"/>
      <c r="G28" s="307"/>
      <c r="H28" s="307"/>
      <c r="I28" s="307"/>
      <c r="J28" s="308"/>
      <c r="K28" s="15"/>
    </row>
    <row r="29" spans="1:11">
      <c r="A29" s="304"/>
      <c r="B29" s="305"/>
      <c r="C29" s="309" t="s">
        <v>58</v>
      </c>
      <c r="D29" s="310"/>
      <c r="E29" s="310"/>
      <c r="F29" s="310"/>
      <c r="G29" s="310"/>
      <c r="H29" s="310"/>
      <c r="I29" s="310"/>
      <c r="J29" s="311"/>
      <c r="K29" s="15"/>
    </row>
    <row r="30" spans="1:11">
      <c r="A30" s="312" t="s">
        <v>59</v>
      </c>
      <c r="B30" s="313"/>
      <c r="C30" s="29">
        <f t="shared" ref="C30:H30" si="0">(1+(C16+C19))*(1+C18)*(1+C17)-1</f>
        <v>0.16970381479249985</v>
      </c>
      <c r="D30" s="29">
        <f t="shared" si="0"/>
        <v>0.16970381479249985</v>
      </c>
      <c r="E30" s="29">
        <f t="shared" si="0"/>
        <v>0.16970381479249985</v>
      </c>
      <c r="F30" s="29">
        <f t="shared" si="0"/>
        <v>0.16970381479249985</v>
      </c>
      <c r="G30" s="29">
        <f t="shared" si="0"/>
        <v>0.10942712156077983</v>
      </c>
      <c r="H30" s="314">
        <f t="shared" si="0"/>
        <v>0.13368649562504031</v>
      </c>
      <c r="I30" s="315"/>
      <c r="J30" s="316"/>
      <c r="K30" s="15"/>
    </row>
    <row r="31" spans="1:11">
      <c r="A31" s="312" t="s">
        <v>60</v>
      </c>
      <c r="B31" s="313"/>
      <c r="C31" s="29">
        <f t="shared" ref="C31:H31" si="1">(1-(C22+C26))</f>
        <v>0.90849999999999997</v>
      </c>
      <c r="D31" s="29">
        <f t="shared" si="1"/>
        <v>0.90349999999999997</v>
      </c>
      <c r="E31" s="29">
        <f t="shared" si="1"/>
        <v>0.89849999999999997</v>
      </c>
      <c r="F31" s="29">
        <f t="shared" si="1"/>
        <v>0.89349999999999996</v>
      </c>
      <c r="G31" s="29">
        <f t="shared" si="1"/>
        <v>0.91849999999999998</v>
      </c>
      <c r="H31" s="314">
        <f t="shared" si="1"/>
        <v>0.89349999999999996</v>
      </c>
      <c r="I31" s="315"/>
      <c r="J31" s="317"/>
      <c r="K31" s="15"/>
    </row>
    <row r="32" spans="1:11">
      <c r="A32" s="319" t="s">
        <v>61</v>
      </c>
      <c r="B32" s="320"/>
      <c r="C32" s="330">
        <f t="shared" ref="C32:H32" si="2">(1+C30)/C31-1</f>
        <v>0.28751107847275725</v>
      </c>
      <c r="D32" s="332">
        <f t="shared" si="2"/>
        <v>0.2946362089568344</v>
      </c>
      <c r="E32" s="330">
        <f t="shared" si="2"/>
        <v>0.30184063972454078</v>
      </c>
      <c r="F32" s="330">
        <f t="shared" si="2"/>
        <v>0.3091257020621152</v>
      </c>
      <c r="G32" s="330">
        <f t="shared" si="2"/>
        <v>0.20786839582011951</v>
      </c>
      <c r="H32" s="319">
        <f t="shared" si="2"/>
        <v>0.26881532806383923</v>
      </c>
      <c r="I32" s="320"/>
      <c r="J32" s="317"/>
      <c r="K32" s="15"/>
    </row>
    <row r="33" spans="1:11">
      <c r="A33" s="321"/>
      <c r="B33" s="322"/>
      <c r="C33" s="331"/>
      <c r="D33" s="333"/>
      <c r="E33" s="331"/>
      <c r="F33" s="331"/>
      <c r="G33" s="331"/>
      <c r="H33" s="321"/>
      <c r="I33" s="322"/>
      <c r="J33" s="318"/>
      <c r="K33" s="15"/>
    </row>
    <row r="34" spans="1:11">
      <c r="A34" s="324" t="s">
        <v>62</v>
      </c>
      <c r="B34" s="325"/>
      <c r="C34" s="325"/>
      <c r="D34" s="325"/>
      <c r="E34" s="325"/>
      <c r="F34" s="325"/>
      <c r="G34" s="325"/>
      <c r="H34" s="325"/>
      <c r="I34" s="325"/>
      <c r="J34" s="326"/>
      <c r="K34" s="15"/>
    </row>
    <row r="35" spans="1:11" ht="90.75" customHeight="1">
      <c r="A35" s="327" t="s">
        <v>63</v>
      </c>
      <c r="B35" s="328"/>
      <c r="C35" s="328"/>
      <c r="D35" s="328"/>
      <c r="E35" s="328"/>
      <c r="F35" s="328"/>
      <c r="G35" s="328"/>
      <c r="H35" s="328"/>
      <c r="I35" s="328"/>
      <c r="J35" s="329"/>
      <c r="K35" s="15"/>
    </row>
    <row r="36" spans="1:11">
      <c r="A36" s="95"/>
      <c r="B36" s="96"/>
      <c r="C36" s="96"/>
      <c r="D36" s="96"/>
      <c r="E36" s="96"/>
      <c r="F36" s="96"/>
      <c r="G36" s="96"/>
      <c r="H36" s="96"/>
      <c r="I36" s="96"/>
      <c r="J36" s="97"/>
      <c r="K36" s="15"/>
    </row>
    <row r="37" spans="1:11">
      <c r="A37" s="98"/>
      <c r="B37" s="15"/>
      <c r="C37" s="15"/>
      <c r="D37" s="15"/>
      <c r="E37" s="15"/>
      <c r="F37" s="15"/>
      <c r="G37" s="15"/>
      <c r="H37" s="15"/>
      <c r="I37" s="15"/>
      <c r="J37" s="78"/>
      <c r="K37" s="15"/>
    </row>
    <row r="38" spans="1:11" ht="46.5" customHeight="1">
      <c r="A38" s="85"/>
      <c r="B38" s="86"/>
      <c r="C38" s="323" t="s">
        <v>129</v>
      </c>
      <c r="D38" s="323"/>
      <c r="E38" s="323"/>
      <c r="F38" s="323"/>
      <c r="G38" s="323"/>
      <c r="H38" s="86"/>
      <c r="I38" s="86"/>
      <c r="J38" s="87"/>
    </row>
  </sheetData>
  <mergeCells count="41">
    <mergeCell ref="C38:G38"/>
    <mergeCell ref="A34:J34"/>
    <mergeCell ref="A35:J35"/>
    <mergeCell ref="C32:C33"/>
    <mergeCell ref="D32:D33"/>
    <mergeCell ref="E32:E33"/>
    <mergeCell ref="F32:F33"/>
    <mergeCell ref="G32:G33"/>
    <mergeCell ref="H32:I33"/>
    <mergeCell ref="A27:J27"/>
    <mergeCell ref="A28:B29"/>
    <mergeCell ref="C28:J28"/>
    <mergeCell ref="C29:J29"/>
    <mergeCell ref="A30:B30"/>
    <mergeCell ref="H30:I30"/>
    <mergeCell ref="J30:J33"/>
    <mergeCell ref="A31:B31"/>
    <mergeCell ref="H31:I31"/>
    <mergeCell ref="A32:B33"/>
    <mergeCell ref="H26:I26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A1:J6"/>
    <mergeCell ref="A9:J9"/>
    <mergeCell ref="A11:J11"/>
    <mergeCell ref="A12:A14"/>
    <mergeCell ref="B12:B14"/>
    <mergeCell ref="C12:I12"/>
    <mergeCell ref="J12:J14"/>
    <mergeCell ref="C13:F13"/>
    <mergeCell ref="G13:I13"/>
    <mergeCell ref="H14:I14"/>
  </mergeCells>
  <pageMargins left="0.511811024" right="0.511811024" top="0.78740157499999996" bottom="0.78740157499999996" header="0.31496062000000002" footer="0.31496062000000002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PLANILHA ORÇAMENTÁRIA</vt:lpstr>
      <vt:lpstr>MEMÓRIA DE CÁLCULO</vt:lpstr>
      <vt:lpstr>CRONOGRAMA</vt:lpstr>
      <vt:lpstr>BDI</vt:lpstr>
      <vt:lpstr>BDI!Area_de_impressao</vt:lpstr>
      <vt:lpstr>CRONOGRAMA!Area_de_impressao</vt:lpstr>
      <vt:lpstr>'MEMÓRIA DE CÁLCULO'!Area_de_impressao</vt:lpstr>
      <vt:lpstr>'PLANILHA ORÇAMENTÁRIA'!Area_de_impressao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ENGENHARIA</cp:lastModifiedBy>
  <cp:lastPrinted>2024-03-01T12:19:43Z</cp:lastPrinted>
  <dcterms:created xsi:type="dcterms:W3CDTF">2023-03-06T12:12:08Z</dcterms:created>
  <dcterms:modified xsi:type="dcterms:W3CDTF">2025-09-09T13:56:20Z</dcterms:modified>
</cp:coreProperties>
</file>