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D:\ALDIR DOCUMENTOS\Documentos\PREFEITURA BRASÍLIA DE MINAS\PONTE CORONEL SANSÃO\PROJETO PONTE\PROJETO PONTE\PLANILHA E MEMORIAL\"/>
    </mc:Choice>
  </mc:AlternateContent>
  <xr:revisionPtr revIDLastSave="0" documentId="8_{740DCDE4-A361-4160-A6DB-6C02D9D4226E}" xr6:coauthVersionLast="47" xr6:coauthVersionMax="47" xr10:uidLastSave="{00000000-0000-0000-0000-000000000000}"/>
  <bookViews>
    <workbookView xWindow="-108" yWindow="-108" windowWidth="23256" windowHeight="12456" tabRatio="732" firstSheet="3" activeTab="3"/>
  </bookViews>
  <sheets>
    <sheet name="PLANILHA" sheetId="11" state="hidden" r:id="rId1"/>
    <sheet name="Memo" sheetId="14" state="hidden" r:id="rId2"/>
    <sheet name="ANEXO QCI" sheetId="18" state="hidden" r:id="rId3"/>
    <sheet name="PLANILHA " sheetId="19" r:id="rId4"/>
    <sheet name="BDI" sheetId="22" r:id="rId5"/>
    <sheet name="MEMORIA DE CÁLCULO" sheetId="15" r:id="rId6"/>
    <sheet name="CRONOGRAMA" sheetId="20" r:id="rId7"/>
    <sheet name="COMPOSIÇÕES" sheetId="21" r:id="rId8"/>
    <sheet name="CPU" sheetId="16" state="hidden" r:id="rId9"/>
    <sheet name="DMTs" sheetId="17" state="hidden" r:id="rId10"/>
  </sheets>
  <externalReferences>
    <externalReference r:id="rId11"/>
  </externalReferences>
  <definedNames>
    <definedName name="_xlnm.Print_Area" localSheetId="1">Memo!$A$1:$G$22</definedName>
    <definedName name="_xlnm.Print_Area" localSheetId="5">'MEMORIA DE CÁLCULO'!$A$1:$J$252</definedName>
    <definedName name="_xlnm.Print_Area" localSheetId="0">PLANILHA!$B$2:$AN$96</definedName>
    <definedName name="_xlnm.Print_Titles" localSheetId="0">PLANILHA!$1:$29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6" i="15" l="1"/>
  <c r="F43" i="19" s="1"/>
  <c r="J227" i="15"/>
  <c r="J220" i="15"/>
  <c r="J212" i="15"/>
  <c r="F39" i="19" s="1"/>
  <c r="I204" i="15"/>
  <c r="F38" i="19" s="1"/>
  <c r="J196" i="15"/>
  <c r="F37" i="19" s="1"/>
  <c r="H188" i="15"/>
  <c r="F36" i="19"/>
  <c r="I178" i="15"/>
  <c r="I170" i="15"/>
  <c r="F33" i="19"/>
  <c r="I160" i="15"/>
  <c r="F31" i="19" s="1"/>
  <c r="I154" i="15"/>
  <c r="I148" i="15"/>
  <c r="F29" i="19"/>
  <c r="I139" i="15"/>
  <c r="F28" i="19" s="1"/>
  <c r="I131" i="15"/>
  <c r="F27" i="19"/>
  <c r="I117" i="15"/>
  <c r="I111" i="15"/>
  <c r="I105" i="15"/>
  <c r="F23" i="19" s="1"/>
  <c r="I23" i="19" s="1"/>
  <c r="I95" i="15"/>
  <c r="F22" i="19" s="1"/>
  <c r="I87" i="15"/>
  <c r="I78" i="15"/>
  <c r="F20" i="19" s="1"/>
  <c r="I69" i="15"/>
  <c r="F19" i="19" s="1"/>
  <c r="I60" i="15"/>
  <c r="F18" i="19" s="1"/>
  <c r="I53" i="15"/>
  <c r="F17" i="19" s="1"/>
  <c r="I42" i="15"/>
  <c r="F15" i="19" s="1"/>
  <c r="I35" i="15"/>
  <c r="I29" i="15"/>
  <c r="D34" i="15" s="1"/>
  <c r="I34" i="15" s="1"/>
  <c r="I22" i="15"/>
  <c r="F12" i="19"/>
  <c r="I15" i="15"/>
  <c r="H41" i="19"/>
  <c r="H37" i="19"/>
  <c r="H38" i="19"/>
  <c r="H39" i="19"/>
  <c r="H36" i="19"/>
  <c r="H31" i="19"/>
  <c r="H25" i="19"/>
  <c r="G56" i="22"/>
  <c r="F56" i="22"/>
  <c r="C56" i="22"/>
  <c r="I55" i="22"/>
  <c r="F55" i="22"/>
  <c r="F57" i="22"/>
  <c r="E55" i="22"/>
  <c r="I47" i="22"/>
  <c r="I56" i="22"/>
  <c r="H47" i="22"/>
  <c r="H56" i="22"/>
  <c r="G47" i="22"/>
  <c r="F47" i="22"/>
  <c r="E47" i="22"/>
  <c r="E56" i="22"/>
  <c r="D47" i="22"/>
  <c r="D56" i="22"/>
  <c r="C47" i="22"/>
  <c r="I44" i="22"/>
  <c r="H44" i="22"/>
  <c r="H55" i="22"/>
  <c r="H57" i="22"/>
  <c r="G44" i="22"/>
  <c r="G55" i="22"/>
  <c r="G57" i="22"/>
  <c r="F44" i="22"/>
  <c r="E44" i="22"/>
  <c r="D44" i="22"/>
  <c r="D55" i="22"/>
  <c r="D57" i="22"/>
  <c r="C44" i="22"/>
  <c r="C55" i="22"/>
  <c r="C57" i="22"/>
  <c r="H43" i="19"/>
  <c r="H40" i="19"/>
  <c r="H34" i="19"/>
  <c r="H33" i="19"/>
  <c r="H28" i="19"/>
  <c r="H29" i="19"/>
  <c r="H30" i="19"/>
  <c r="H27" i="19"/>
  <c r="H18" i="19"/>
  <c r="H19" i="19"/>
  <c r="H20" i="19"/>
  <c r="H21" i="19"/>
  <c r="H22" i="19"/>
  <c r="H23" i="19"/>
  <c r="H24" i="19"/>
  <c r="H17" i="19"/>
  <c r="H12" i="19"/>
  <c r="H13" i="19"/>
  <c r="H14" i="19"/>
  <c r="H15" i="19"/>
  <c r="H11" i="19"/>
  <c r="H23" i="22"/>
  <c r="G23" i="22"/>
  <c r="E23" i="22"/>
  <c r="F22" i="22"/>
  <c r="E22" i="22"/>
  <c r="E24" i="22"/>
  <c r="C22" i="22"/>
  <c r="C24" i="22"/>
  <c r="H14" i="22"/>
  <c r="G14" i="22"/>
  <c r="F14" i="22"/>
  <c r="F23" i="22"/>
  <c r="E14" i="22"/>
  <c r="D14" i="22"/>
  <c r="D23" i="22"/>
  <c r="C14" i="22"/>
  <c r="C23" i="22"/>
  <c r="H11" i="22"/>
  <c r="H22" i="22"/>
  <c r="H24" i="22"/>
  <c r="G11" i="22"/>
  <c r="G22" i="22"/>
  <c r="G24" i="22"/>
  <c r="F11" i="22"/>
  <c r="E11" i="22"/>
  <c r="D11" i="22"/>
  <c r="D22" i="22"/>
  <c r="C11" i="22"/>
  <c r="B36" i="19"/>
  <c r="C36" i="19"/>
  <c r="G36" i="19"/>
  <c r="G13" i="21"/>
  <c r="G12" i="21"/>
  <c r="G11" i="21"/>
  <c r="G10" i="21"/>
  <c r="G9" i="21"/>
  <c r="G8" i="21"/>
  <c r="G7" i="21"/>
  <c r="G6" i="21"/>
  <c r="G14" i="21"/>
  <c r="G15" i="21"/>
  <c r="G59" i="15"/>
  <c r="I59" i="15"/>
  <c r="G58" i="15"/>
  <c r="I58" i="15"/>
  <c r="I94" i="15"/>
  <c r="D28" i="15"/>
  <c r="I28" i="15"/>
  <c r="I21" i="15"/>
  <c r="H15" i="20"/>
  <c r="H13" i="20"/>
  <c r="H11" i="20"/>
  <c r="H9" i="20"/>
  <c r="H7" i="20"/>
  <c r="H5" i="20"/>
  <c r="B13" i="20"/>
  <c r="D222" i="15"/>
  <c r="D214" i="15"/>
  <c r="D206" i="15"/>
  <c r="D198" i="15"/>
  <c r="D190" i="15"/>
  <c r="D182" i="15"/>
  <c r="D164" i="15"/>
  <c r="D17" i="15"/>
  <c r="A176" i="15"/>
  <c r="A177" i="15"/>
  <c r="A175" i="15"/>
  <c r="D235" i="15"/>
  <c r="I235" i="15"/>
  <c r="D216" i="15"/>
  <c r="I211" i="15"/>
  <c r="A195" i="15"/>
  <c r="A203" i="15"/>
  <c r="A211" i="15"/>
  <c r="A219" i="15"/>
  <c r="A194" i="15"/>
  <c r="A202" i="15"/>
  <c r="A210" i="15"/>
  <c r="A218" i="15"/>
  <c r="D187" i="15"/>
  <c r="H187" i="15"/>
  <c r="H195" i="15"/>
  <c r="J195" i="15"/>
  <c r="I210" i="15"/>
  <c r="I27" i="15"/>
  <c r="I20" i="15"/>
  <c r="C145" i="15"/>
  <c r="C146" i="15"/>
  <c r="C147" i="15"/>
  <c r="C144" i="15"/>
  <c r="A145" i="15"/>
  <c r="A146" i="15"/>
  <c r="A147" i="15"/>
  <c r="A144" i="15"/>
  <c r="D127" i="15"/>
  <c r="I127" i="15"/>
  <c r="D126" i="15"/>
  <c r="I126" i="15"/>
  <c r="D125" i="15"/>
  <c r="I125" i="15"/>
  <c r="D124" i="15"/>
  <c r="I124" i="15"/>
  <c r="I128" i="15"/>
  <c r="I129" i="15"/>
  <c r="I130" i="15"/>
  <c r="I101" i="15"/>
  <c r="I102" i="15"/>
  <c r="I103" i="15"/>
  <c r="H104" i="15"/>
  <c r="I104" i="15"/>
  <c r="D93" i="15"/>
  <c r="I93" i="15"/>
  <c r="D86" i="15"/>
  <c r="I86" i="15"/>
  <c r="D85" i="15"/>
  <c r="I85" i="15"/>
  <c r="D84" i="15"/>
  <c r="I84" i="15"/>
  <c r="F21" i="19"/>
  <c r="I21" i="19" s="1"/>
  <c r="D83" i="15"/>
  <c r="I83" i="15"/>
  <c r="F66" i="15"/>
  <c r="G75" i="15"/>
  <c r="F67" i="15"/>
  <c r="F68" i="15"/>
  <c r="I68" i="15"/>
  <c r="F65" i="15"/>
  <c r="G74" i="15"/>
  <c r="C66" i="15"/>
  <c r="C75" i="15"/>
  <c r="C101" i="15"/>
  <c r="C67" i="15"/>
  <c r="C76" i="15"/>
  <c r="C102" i="15"/>
  <c r="C68" i="15"/>
  <c r="C77" i="15"/>
  <c r="C103" i="15"/>
  <c r="C65" i="15"/>
  <c r="C74" i="15"/>
  <c r="C100" i="15"/>
  <c r="A66" i="15"/>
  <c r="A75" i="15"/>
  <c r="A84" i="15"/>
  <c r="A101" i="15"/>
  <c r="A67" i="15"/>
  <c r="A76" i="15"/>
  <c r="A85" i="15"/>
  <c r="A102" i="15"/>
  <c r="A68" i="15"/>
  <c r="A77" i="15"/>
  <c r="A86" i="15"/>
  <c r="A103" i="15"/>
  <c r="A65" i="15"/>
  <c r="A74" i="15"/>
  <c r="A83" i="15"/>
  <c r="A100" i="15"/>
  <c r="D49" i="15"/>
  <c r="D65" i="15"/>
  <c r="D74" i="15"/>
  <c r="I74" i="15"/>
  <c r="F50" i="15"/>
  <c r="F51" i="15"/>
  <c r="F52" i="15"/>
  <c r="F49" i="15"/>
  <c r="E50" i="15"/>
  <c r="I50" i="15"/>
  <c r="E66" i="15"/>
  <c r="E75" i="15"/>
  <c r="E51" i="15"/>
  <c r="E67" i="15"/>
  <c r="E76" i="15"/>
  <c r="E52" i="15"/>
  <c r="E68" i="15"/>
  <c r="E49" i="15"/>
  <c r="E65" i="15"/>
  <c r="E74" i="15"/>
  <c r="D52" i="15"/>
  <c r="D68" i="15"/>
  <c r="D77" i="15"/>
  <c r="I77" i="15"/>
  <c r="D51" i="15"/>
  <c r="I51" i="15"/>
  <c r="D50" i="15"/>
  <c r="I168" i="15"/>
  <c r="D176" i="15"/>
  <c r="I176" i="15"/>
  <c r="I169" i="15"/>
  <c r="D177" i="15"/>
  <c r="I177" i="15"/>
  <c r="I145" i="15"/>
  <c r="I146" i="15"/>
  <c r="I147" i="15"/>
  <c r="I41" i="15"/>
  <c r="I14" i="15"/>
  <c r="F11" i="19"/>
  <c r="J11" i="19" s="1"/>
  <c r="I136" i="15"/>
  <c r="I167" i="15"/>
  <c r="D175" i="15"/>
  <c r="I175" i="15"/>
  <c r="I138" i="15"/>
  <c r="I137" i="15"/>
  <c r="I92" i="15"/>
  <c r="I159" i="15"/>
  <c r="I153" i="15"/>
  <c r="F30" i="19"/>
  <c r="I144" i="15"/>
  <c r="I100" i="15"/>
  <c r="E110" i="15"/>
  <c r="I40" i="15"/>
  <c r="V61" i="11"/>
  <c r="V65" i="11"/>
  <c r="V60" i="11"/>
  <c r="V66" i="11"/>
  <c r="AI66" i="11"/>
  <c r="I132" i="16"/>
  <c r="I133" i="16"/>
  <c r="I128" i="16"/>
  <c r="I129" i="16"/>
  <c r="D124" i="16"/>
  <c r="I124" i="16"/>
  <c r="D123" i="16"/>
  <c r="I123" i="16"/>
  <c r="D122" i="16"/>
  <c r="I122" i="16"/>
  <c r="D121" i="16"/>
  <c r="I121" i="16"/>
  <c r="I117" i="16"/>
  <c r="I118" i="16"/>
  <c r="B7" i="18"/>
  <c r="AF59" i="11"/>
  <c r="AI59" i="11"/>
  <c r="AI63" i="11"/>
  <c r="D11" i="18"/>
  <c r="AI58" i="11"/>
  <c r="AF58" i="11"/>
  <c r="AB58" i="11"/>
  <c r="AF56" i="11"/>
  <c r="AI55" i="11"/>
  <c r="AF55" i="11"/>
  <c r="AB55" i="11"/>
  <c r="AF53" i="11"/>
  <c r="AI53" i="11"/>
  <c r="AI54" i="11"/>
  <c r="AI52" i="11"/>
  <c r="AF52" i="11"/>
  <c r="AB52" i="11"/>
  <c r="AF50" i="11"/>
  <c r="AF49" i="11"/>
  <c r="AF48" i="11"/>
  <c r="AF47" i="11"/>
  <c r="AI47" i="11"/>
  <c r="AF46" i="11"/>
  <c r="AF45" i="11"/>
  <c r="AF44" i="11"/>
  <c r="AF43" i="11"/>
  <c r="AF42" i="11"/>
  <c r="AI41" i="11"/>
  <c r="AF41" i="11"/>
  <c r="AB41" i="11"/>
  <c r="AF39" i="11"/>
  <c r="AF38" i="11"/>
  <c r="AF37" i="11"/>
  <c r="AF36" i="11"/>
  <c r="AI36" i="11"/>
  <c r="AI40" i="11"/>
  <c r="D8" i="18"/>
  <c r="AI35" i="11"/>
  <c r="AF35" i="11"/>
  <c r="AB35" i="11"/>
  <c r="AF33" i="11"/>
  <c r="AF32" i="11"/>
  <c r="AI64" i="11"/>
  <c r="AF64" i="11"/>
  <c r="AB64" i="11"/>
  <c r="AF73" i="11"/>
  <c r="AF72" i="11"/>
  <c r="AF71" i="11"/>
  <c r="AF70" i="11"/>
  <c r="AI70" i="11"/>
  <c r="B4" i="17"/>
  <c r="I105" i="16"/>
  <c r="I106" i="16"/>
  <c r="I107" i="16"/>
  <c r="I108" i="16"/>
  <c r="I110" i="16"/>
  <c r="Y62" i="11"/>
  <c r="AF62" i="11"/>
  <c r="I101" i="16"/>
  <c r="I100" i="16"/>
  <c r="I102" i="16"/>
  <c r="I96" i="16"/>
  <c r="I95" i="16"/>
  <c r="I94" i="16"/>
  <c r="I93" i="16"/>
  <c r="I97" i="16"/>
  <c r="I89" i="16"/>
  <c r="I90" i="16"/>
  <c r="I77" i="16"/>
  <c r="I78" i="16"/>
  <c r="I79" i="16"/>
  <c r="I80" i="16"/>
  <c r="I82" i="16"/>
  <c r="Y61" i="11"/>
  <c r="AF61" i="11"/>
  <c r="I73" i="16"/>
  <c r="I72" i="16"/>
  <c r="I74" i="16"/>
  <c r="I68" i="16"/>
  <c r="I67" i="16"/>
  <c r="I66" i="16"/>
  <c r="I65" i="16"/>
  <c r="I69" i="16"/>
  <c r="I61" i="16"/>
  <c r="I62" i="16"/>
  <c r="I49" i="16"/>
  <c r="I50" i="16"/>
  <c r="I51" i="16"/>
  <c r="I52" i="16"/>
  <c r="I54" i="16"/>
  <c r="I45" i="16"/>
  <c r="I46" i="16"/>
  <c r="D41" i="16"/>
  <c r="I41" i="16"/>
  <c r="D40" i="16"/>
  <c r="I40" i="16"/>
  <c r="D39" i="16"/>
  <c r="I39" i="16"/>
  <c r="D38" i="16"/>
  <c r="I38" i="16"/>
  <c r="I42" i="16"/>
  <c r="I34" i="16"/>
  <c r="I35" i="16"/>
  <c r="I22" i="16"/>
  <c r="I21" i="16"/>
  <c r="I23" i="16"/>
  <c r="I17" i="16"/>
  <c r="I18" i="16"/>
  <c r="I13" i="16"/>
  <c r="I12" i="16"/>
  <c r="I14" i="16"/>
  <c r="I8" i="16"/>
  <c r="I9" i="16"/>
  <c r="X73" i="11"/>
  <c r="W73" i="11"/>
  <c r="X72" i="11"/>
  <c r="W72" i="11"/>
  <c r="X71" i="11"/>
  <c r="W71" i="11"/>
  <c r="X70" i="11"/>
  <c r="W70" i="11"/>
  <c r="V31" i="11"/>
  <c r="AB67" i="11"/>
  <c r="AF67" i="11"/>
  <c r="AI67" i="11"/>
  <c r="AF66" i="11"/>
  <c r="B12" i="14"/>
  <c r="B16" i="14"/>
  <c r="B17" i="14"/>
  <c r="B18" i="14"/>
  <c r="B19" i="14"/>
  <c r="L25" i="11"/>
  <c r="O25" i="11"/>
  <c r="AB30" i="11"/>
  <c r="AF30" i="11"/>
  <c r="AI30" i="11"/>
  <c r="AF65" i="11"/>
  <c r="AI65" i="11"/>
  <c r="V56" i="11"/>
  <c r="AB56" i="11"/>
  <c r="AB70" i="11"/>
  <c r="V36" i="11"/>
  <c r="AB36" i="11"/>
  <c r="V48" i="11"/>
  <c r="AI48" i="11"/>
  <c r="V49" i="11"/>
  <c r="AI49" i="11"/>
  <c r="V50" i="11"/>
  <c r="AB50" i="11"/>
  <c r="V53" i="11"/>
  <c r="AB53" i="11"/>
  <c r="V45" i="11"/>
  <c r="AI45" i="11"/>
  <c r="V32" i="11"/>
  <c r="AI32" i="11"/>
  <c r="AB32" i="11"/>
  <c r="V33" i="11"/>
  <c r="AI33" i="11"/>
  <c r="V71" i="11"/>
  <c r="AB71" i="11"/>
  <c r="V59" i="11"/>
  <c r="AB59" i="11"/>
  <c r="V37" i="11"/>
  <c r="AB37" i="11"/>
  <c r="V38" i="11"/>
  <c r="AI38" i="11"/>
  <c r="V39" i="11"/>
  <c r="AI39" i="11"/>
  <c r="AB39" i="11"/>
  <c r="V72" i="11"/>
  <c r="C17" i="14"/>
  <c r="V42" i="11"/>
  <c r="AI42" i="11"/>
  <c r="AI51" i="11"/>
  <c r="D9" i="18"/>
  <c r="V43" i="11"/>
  <c r="AI43" i="11"/>
  <c r="V73" i="11"/>
  <c r="V44" i="11"/>
  <c r="AB44" i="11"/>
  <c r="V46" i="11"/>
  <c r="AB46" i="11"/>
  <c r="V47" i="11"/>
  <c r="AB47" i="11"/>
  <c r="AB66" i="11"/>
  <c r="E186" i="15"/>
  <c r="H186" i="15"/>
  <c r="D66" i="15"/>
  <c r="I66" i="15"/>
  <c r="D75" i="15"/>
  <c r="D10" i="18"/>
  <c r="D67" i="15"/>
  <c r="I67" i="15"/>
  <c r="AB38" i="11"/>
  <c r="AB33" i="11"/>
  <c r="I52" i="15"/>
  <c r="AI56" i="11"/>
  <c r="AI57" i="11"/>
  <c r="AI44" i="11"/>
  <c r="AB42" i="11"/>
  <c r="H203" i="15"/>
  <c r="E77" i="15"/>
  <c r="F13" i="19"/>
  <c r="I13" i="19" s="1"/>
  <c r="I11" i="19"/>
  <c r="AB72" i="11"/>
  <c r="AI37" i="11"/>
  <c r="AI71" i="11"/>
  <c r="AI73" i="11"/>
  <c r="AB73" i="11"/>
  <c r="I203" i="15"/>
  <c r="H211" i="15"/>
  <c r="I75" i="15"/>
  <c r="AI61" i="11"/>
  <c r="AI72" i="11"/>
  <c r="I24" i="16"/>
  <c r="I25" i="16"/>
  <c r="I27" i="16"/>
  <c r="Y31" i="11"/>
  <c r="AI74" i="11"/>
  <c r="F34" i="19"/>
  <c r="I34" i="19" s="1"/>
  <c r="AI68" i="11"/>
  <c r="D12" i="18"/>
  <c r="H194" i="15"/>
  <c r="I134" i="16"/>
  <c r="I135" i="16"/>
  <c r="I137" i="16"/>
  <c r="I138" i="16"/>
  <c r="Y60" i="11"/>
  <c r="I30" i="19"/>
  <c r="J30" i="19"/>
  <c r="I125" i="16"/>
  <c r="J21" i="19"/>
  <c r="AB43" i="11"/>
  <c r="AB49" i="11"/>
  <c r="V62" i="11"/>
  <c r="I49" i="15"/>
  <c r="D76" i="15"/>
  <c r="I76" i="15"/>
  <c r="AI46" i="11"/>
  <c r="AB45" i="11"/>
  <c r="AB48" i="11"/>
  <c r="AB61" i="11"/>
  <c r="AI50" i="11"/>
  <c r="I65" i="15"/>
  <c r="J34" i="19"/>
  <c r="AB31" i="11"/>
  <c r="AB75" i="11"/>
  <c r="AF31" i="11"/>
  <c r="AI31" i="11"/>
  <c r="AI34" i="11"/>
  <c r="D7" i="18"/>
  <c r="D13" i="18"/>
  <c r="D110" i="15"/>
  <c r="J194" i="15"/>
  <c r="H202" i="15"/>
  <c r="AF60" i="11"/>
  <c r="AI60" i="11"/>
  <c r="AB60" i="11"/>
  <c r="AI62" i="11"/>
  <c r="AB62" i="11"/>
  <c r="J211" i="15"/>
  <c r="D219" i="15"/>
  <c r="J219" i="15"/>
  <c r="I202" i="15"/>
  <c r="H210" i="15"/>
  <c r="D14" i="18"/>
  <c r="C1" i="18"/>
  <c r="AI75" i="11"/>
  <c r="C3" i="18"/>
  <c r="C4" i="18"/>
  <c r="J210" i="15"/>
  <c r="D218" i="15"/>
  <c r="J218" i="15"/>
  <c r="G8" i="18"/>
  <c r="F8" i="18"/>
  <c r="G9" i="18"/>
  <c r="F9" i="18"/>
  <c r="G11" i="18"/>
  <c r="F11" i="18"/>
  <c r="G10" i="18"/>
  <c r="F10" i="18"/>
  <c r="G12" i="18"/>
  <c r="F12" i="18"/>
  <c r="G13" i="18"/>
  <c r="F13" i="18"/>
  <c r="G7" i="18"/>
  <c r="D226" i="15"/>
  <c r="J226" i="15" s="1"/>
  <c r="F41" i="19" s="1"/>
  <c r="F40" i="19"/>
  <c r="J40" i="19" s="1"/>
  <c r="G14" i="18"/>
  <c r="F7" i="18"/>
  <c r="F14" i="18"/>
  <c r="D24" i="22"/>
  <c r="F24" i="22"/>
  <c r="E57" i="22"/>
  <c r="I57" i="22"/>
  <c r="J43" i="19" l="1"/>
  <c r="J42" i="19" s="1"/>
  <c r="C15" i="20" s="1"/>
  <c r="G16" i="20" s="1"/>
  <c r="H16" i="20" s="1"/>
  <c r="I43" i="19"/>
  <c r="I42" i="19" s="1"/>
  <c r="J41" i="19"/>
  <c r="I41" i="19"/>
  <c r="I40" i="19"/>
  <c r="J39" i="19"/>
  <c r="I39" i="19"/>
  <c r="J38" i="19"/>
  <c r="I38" i="19"/>
  <c r="J37" i="19"/>
  <c r="I37" i="19"/>
  <c r="J36" i="19"/>
  <c r="I36" i="19"/>
  <c r="J33" i="19"/>
  <c r="J32" i="19" s="1"/>
  <c r="C11" i="20" s="1"/>
  <c r="I33" i="19"/>
  <c r="I32" i="19" s="1"/>
  <c r="J31" i="19"/>
  <c r="I31" i="19"/>
  <c r="J29" i="19"/>
  <c r="I29" i="19"/>
  <c r="J28" i="19"/>
  <c r="I28" i="19"/>
  <c r="I27" i="19"/>
  <c r="J27" i="19"/>
  <c r="J23" i="19"/>
  <c r="J22" i="19"/>
  <c r="I22" i="19"/>
  <c r="J20" i="19"/>
  <c r="I20" i="19"/>
  <c r="F110" i="15"/>
  <c r="I110" i="15" s="1"/>
  <c r="I19" i="19"/>
  <c r="J19" i="19"/>
  <c r="J18" i="19"/>
  <c r="I18" i="19"/>
  <c r="I17" i="19"/>
  <c r="J17" i="19"/>
  <c r="I15" i="19"/>
  <c r="J15" i="19"/>
  <c r="F14" i="19"/>
  <c r="I14" i="19" s="1"/>
  <c r="J14" i="19"/>
  <c r="J13" i="19"/>
  <c r="I12" i="19"/>
  <c r="J12" i="19"/>
  <c r="I35" i="19" l="1"/>
  <c r="J35" i="19"/>
  <c r="C13" i="20" s="1"/>
  <c r="G14" i="20" s="1"/>
  <c r="H14" i="20" s="1"/>
  <c r="E12" i="20"/>
  <c r="F12" i="20"/>
  <c r="F17" i="20" s="1"/>
  <c r="G12" i="20"/>
  <c r="I26" i="19"/>
  <c r="J26" i="19"/>
  <c r="C9" i="20" s="1"/>
  <c r="D10" i="20" s="1"/>
  <c r="F24" i="19"/>
  <c r="D116" i="15"/>
  <c r="I116" i="15" s="1"/>
  <c r="F25" i="19" s="1"/>
  <c r="I10" i="19"/>
  <c r="J10" i="19"/>
  <c r="C5" i="20" s="1"/>
  <c r="G17" i="20" l="1"/>
  <c r="H12" i="20"/>
  <c r="E10" i="20"/>
  <c r="E17" i="20" s="1"/>
  <c r="J24" i="19"/>
  <c r="I24" i="19"/>
  <c r="I25" i="19"/>
  <c r="J25" i="19"/>
  <c r="D6" i="20"/>
  <c r="H10" i="20" l="1"/>
  <c r="J16" i="19"/>
  <c r="C7" i="20" s="1"/>
  <c r="D8" i="20" s="1"/>
  <c r="H8" i="20" s="1"/>
  <c r="D17" i="20"/>
  <c r="D18" i="20" s="1"/>
  <c r="E18" i="20" s="1"/>
  <c r="F18" i="20" s="1"/>
  <c r="G18" i="20" s="1"/>
  <c r="J46" i="19"/>
  <c r="C17" i="20"/>
  <c r="I16" i="19"/>
  <c r="J45" i="19" s="1"/>
  <c r="H6" i="20"/>
  <c r="H17" i="20" l="1"/>
  <c r="J44" i="19"/>
</calcChain>
</file>

<file path=xl/comments1.xml><?xml version="1.0" encoding="utf-8"?>
<comments xmlns="http://schemas.openxmlformats.org/spreadsheetml/2006/main">
  <authors>
    <author>user</author>
  </authors>
  <commentList>
    <comment ref="V6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UTILIZADO NO DECORRER DO PASSEIO</t>
        </r>
      </text>
    </comment>
    <comment ref="W6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UTILIZADO NO DECORRER DO PASSEIO</t>
        </r>
      </text>
    </comment>
    <comment ref="X6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UTILIZADO NO DECORRER DO PASSEIO</t>
        </r>
      </text>
    </comment>
    <comment ref="V6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UTILIZADO NO MEIO DA RAMPA  ENA PARTE SUPERIOR DA RAMPA ACOMPANHANDO O PISO DIRECIONAL
UTILIZADO EM OBSTACULOS NO PASSEIO </t>
        </r>
      </text>
    </comment>
    <comment ref="W6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UTILIZADO NO MEIO DA RAMPA  ENA PARTE SUPERIOR DA RAMPA ACOMPNANDO O PISO DIRECIONAL
UTILIZADO EM OBSTACULOS NO PASSEIO </t>
        </r>
      </text>
    </comment>
    <comment ref="X6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UTILIZADO NO MEIO DA RAMPA  ENA PARTE SUPERIOR DA RAMPA ACOMPNANDO O PISO DIRECIONAL
UTILIZADO EM OBSTACULOS NO PASSEIO </t>
        </r>
      </text>
    </comment>
  </commentList>
</comments>
</file>

<file path=xl/comments2.xml><?xml version="1.0" encoding="utf-8"?>
<comments xmlns="http://schemas.openxmlformats.org/spreadsheetml/2006/main">
  <authors>
    <author>Marcio</author>
    <author>user</author>
  </authors>
  <commentList>
    <comment ref="E186" authorId="0" shapeId="0">
      <text>
        <r>
          <rPr>
            <b/>
            <sz val="9"/>
            <color indexed="81"/>
            <rFont val="Segoe UI"/>
            <family val="2"/>
          </rPr>
          <t>Marcio:</t>
        </r>
        <r>
          <rPr>
            <sz val="9"/>
            <color indexed="81"/>
            <rFont val="Segoe UI"/>
            <family val="2"/>
          </rPr>
          <t xml:space="preserve">
PESTA DE ROLAMENTO +SARJETAS</t>
        </r>
      </text>
    </comment>
    <comment ref="E202" authorId="0" shapeId="0">
      <text>
        <r>
          <rPr>
            <b/>
            <sz val="9"/>
            <color indexed="81"/>
            <rFont val="Segoe UI"/>
            <family val="2"/>
          </rPr>
          <t>Marcio:</t>
        </r>
        <r>
          <rPr>
            <sz val="9"/>
            <color indexed="81"/>
            <rFont val="Segoe UI"/>
            <family val="2"/>
          </rPr>
          <t xml:space="preserve">
PISTA DE ROLAMENTO</t>
        </r>
      </text>
    </comment>
    <comment ref="G216" authorId="1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peso esp do CBUQ = 2,4 t/m3
peso especifico do pmf = 1,9 t/m3</t>
        </r>
      </text>
    </comment>
  </commentList>
</comments>
</file>

<file path=xl/sharedStrings.xml><?xml version="1.0" encoding="utf-8"?>
<sst xmlns="http://schemas.openxmlformats.org/spreadsheetml/2006/main" count="1318" uniqueCount="660">
  <si>
    <t>Proponente</t>
  </si>
  <si>
    <t>Data-Base (mês de referência)</t>
  </si>
  <si>
    <t>Nº do Contrato de Repasse - OGU</t>
  </si>
  <si>
    <t>ITEM</t>
  </si>
  <si>
    <t>DESCRIÇÃO DOS SERVIÇOS</t>
  </si>
  <si>
    <t xml:space="preserve">UN </t>
  </si>
  <si>
    <t>QUANT</t>
  </si>
  <si>
    <t>Responsável Técnico:</t>
  </si>
  <si>
    <t>MG</t>
  </si>
  <si>
    <t>Programa</t>
  </si>
  <si>
    <t>Município</t>
  </si>
  <si>
    <t>UF</t>
  </si>
  <si>
    <t>Empreendimento ( Nome/Apelido)</t>
  </si>
  <si>
    <t>CREA:</t>
  </si>
  <si>
    <t>até</t>
  </si>
  <si>
    <t xml:space="preserve">De </t>
  </si>
  <si>
    <t>Intervalos admissíveis sem justificativa</t>
  </si>
  <si>
    <t>Gestor (Ministério)</t>
  </si>
  <si>
    <t>BDI Proposto:</t>
  </si>
  <si>
    <t>Composição de BDI Adotada</t>
  </si>
  <si>
    <t>Composição do BDI sugerida</t>
  </si>
  <si>
    <t>UNITÁRIO</t>
  </si>
  <si>
    <t>Setor Público - REPASSE</t>
  </si>
  <si>
    <t xml:space="preserve">ORÇAMENTO DISCRIMINATIVO </t>
  </si>
  <si>
    <t>Regime de execução das obras:</t>
  </si>
  <si>
    <t xml:space="preserve">  Garantia:</t>
  </si>
  <si>
    <t xml:space="preserve">  Risco:</t>
  </si>
  <si>
    <t xml:space="preserve">  Despesas financeiras:</t>
  </si>
  <si>
    <t xml:space="preserve">  Administração central:</t>
  </si>
  <si>
    <t xml:space="preserve">  Lucro:</t>
  </si>
  <si>
    <t xml:space="preserve">  Tributos:</t>
  </si>
  <si>
    <t>VALORES (R$)</t>
  </si>
  <si>
    <t>CUSTO</t>
  </si>
  <si>
    <t>TOTAL ITEM</t>
  </si>
  <si>
    <t>PREÇO</t>
  </si>
  <si>
    <t>TOTAIS:</t>
  </si>
  <si>
    <t>CUSTO:</t>
  </si>
  <si>
    <t>PREÇO:</t>
  </si>
  <si>
    <t>Garantia (G)</t>
  </si>
  <si>
    <t>Despesas financeiras (DF)</t>
  </si>
  <si>
    <t>Administração Central (AC)</t>
  </si>
  <si>
    <t>Lucro (L)</t>
  </si>
  <si>
    <t>Tributos (T)</t>
  </si>
  <si>
    <t xml:space="preserve">Risco (R) </t>
  </si>
  <si>
    <t xml:space="preserve">                      Declaro para os devidos fins que os itens apresentados neste Orçamento Discriminativo estão com os quantitativos compatíveis com os projetos / especificações técnicas que compõem a proposta do referido Contrato de Repasse e os custos unitários previstos são iguais ou inferiores à mediana do SINAPI atendendo, portanto, à Lei de Diretrizes Orçamentárias - LDO em vigor. </t>
  </si>
  <si>
    <t>CÓDIGO</t>
  </si>
  <si>
    <t>FONTE</t>
  </si>
  <si>
    <r>
      <t xml:space="preserve"> BDI =</t>
    </r>
    <r>
      <rPr>
        <u/>
        <sz val="8"/>
        <rFont val="Arial"/>
        <family val="2"/>
      </rPr>
      <t xml:space="preserve"> (1+AC)x(1+DF)x(1+(G+R))x(1+L)</t>
    </r>
    <r>
      <rPr>
        <sz val="8"/>
        <rFont val="Arial"/>
        <family val="2"/>
      </rPr>
      <t xml:space="preserve">)  -1
                                  1-T
  </t>
    </r>
    <r>
      <rPr>
        <u/>
        <sz val="8"/>
        <rFont val="Arial"/>
        <family val="2"/>
      </rPr>
      <t>Observação</t>
    </r>
    <r>
      <rPr>
        <sz val="8"/>
        <rFont val="Arial"/>
        <family val="2"/>
      </rPr>
      <t>:
  i)   Composição do BDI, intervalos admissíveis e Fórmula de cálculo nos termos do Acórdão 325/2007 do TCU.</t>
    </r>
  </si>
  <si>
    <t>SERVICOS DIVERSOS</t>
  </si>
  <si>
    <t>4.0</t>
  </si>
  <si>
    <t>4.2</t>
  </si>
  <si>
    <t>TOTAL</t>
  </si>
  <si>
    <t>PROJETO DE SINALIZAÇÃO</t>
  </si>
  <si>
    <t>4.5</t>
  </si>
  <si>
    <t>RAMPAS PARA ACESSIBILIDADE</t>
  </si>
  <si>
    <t>REGULARIZAÇÃO DE PISO PARA RAMPA</t>
  </si>
  <si>
    <t>4.3</t>
  </si>
  <si>
    <t>4.4</t>
  </si>
  <si>
    <t>OBRA:</t>
  </si>
  <si>
    <t>4.6</t>
  </si>
  <si>
    <t>REPASSE</t>
  </si>
  <si>
    <t>CONTRAPARTIDA</t>
  </si>
  <si>
    <t>DIFERENÇA</t>
  </si>
  <si>
    <t>PREÇO/M²</t>
  </si>
  <si>
    <t>((2,70X0,45)X8)X11</t>
  </si>
  <si>
    <t>(0,20x0,30x0,60)x15</t>
  </si>
  <si>
    <t>PASSEIO EM CONCRETO DESEMPENADO</t>
  </si>
  <si>
    <t>EXECUÇAO DE PAVIMENTAÇAO ASFALTICA EM PMF-CONFORME PROJETO E DEMAIS DOCUMENTOS</t>
  </si>
  <si>
    <t>4.7</t>
  </si>
  <si>
    <t>4.8</t>
  </si>
  <si>
    <t>4.9</t>
  </si>
  <si>
    <t>4.10</t>
  </si>
  <si>
    <t>4.11</t>
  </si>
  <si>
    <t>Michel Carvalho Gomes de Moraes</t>
  </si>
  <si>
    <t>CREA/SP 5062066058/D</t>
  </si>
  <si>
    <t xml:space="preserve"> MEMÓRIA DE CÁLCULO</t>
  </si>
  <si>
    <t>PISO DE BORRACHA FRISADO</t>
  </si>
  <si>
    <t>PISO DE BORRACHA PASTILHADO</t>
  </si>
  <si>
    <t>1,80 M2</t>
  </si>
  <si>
    <t>0,30 M2X6,00 UNIDADES</t>
  </si>
  <si>
    <t>ESCAVAÇÃO MANUAL,PROFUNDIDADE ATÉ 0,50 M</t>
  </si>
  <si>
    <t>13,00 UNIDADES</t>
  </si>
  <si>
    <t>(RUA CALDAS NOVAS 187,61 comprimento ruaX1,20 largura passeio X2,00 lados)+(RUA B 44,09 comprimeto ruaX1,20 largura passeioX2,00 lados)+( RUA A 55,32 comprimento ruaX1,20 largura passeioX2,00)+( RUA JOSE GERALDO PEREIRA79,59comprimento ruaX1,20 largura passeioX2,00 lados)+(RUA SÃO NOBERTO 60,00 comprimento rua x 1,20 largura passeio x 2,00 lados) - 95,04 m2 AREA DAS RAMPAS DE ACESSIBILIDADE)</t>
  </si>
  <si>
    <t>928,76 M2</t>
  </si>
  <si>
    <t>3,60 comprimento x1,20 largura x 22 unidades</t>
  </si>
  <si>
    <t>95,04 M3</t>
  </si>
  <si>
    <t>(1,20X1,20X0,10X22 UNIDADES)+RAMPA A (0,60X1,20X0,10X22)+RAMPA B (0,60X1,20X0,10X22 UNIDADES)</t>
  </si>
  <si>
    <t>6,33 M3</t>
  </si>
  <si>
    <t>95,04 area rampa x 0,25 largura piso</t>
  </si>
  <si>
    <t>23,76 M2</t>
  </si>
  <si>
    <t>223,68 M2</t>
  </si>
  <si>
    <t xml:space="preserve">(RUA CALDAS NOVAS 187,61 comprimento+RUA B 44,09 comprimento+RUA A 55,32 comprimento +RUA JOSE GERALDO PEREIRA 100,34 comprimento+RUA SÃO NOBERTO 60,00 comprimento) x 2 lados x 0,25 largura piso </t>
  </si>
  <si>
    <t>CONTRATO 1.016.539-74/2014</t>
  </si>
  <si>
    <t>PLANEJAMENTO URBANO</t>
  </si>
  <si>
    <t>MINISTÉRIO DAS CIDADES</t>
  </si>
  <si>
    <t xml:space="preserve">MOBILIZAÇÃO E DESMOBILIZAÇÃO </t>
  </si>
  <si>
    <t>FORNECIMENTO E INSTALAÇÃO DE PLACA DE IDENTIFICAÇÃO DA OBRA (3,0 x 1,5 m)</t>
  </si>
  <si>
    <t>SERVICOS TOPOGRAFICOS PARA PAVIMENTACAO, INCLUSIVE NOTA DE SERVICOS, ACOMPANHAMENTO E GREIDE</t>
  </si>
  <si>
    <t>TERRAPLENAGEM</t>
  </si>
  <si>
    <t>1.1</t>
  </si>
  <si>
    <t>1.2</t>
  </si>
  <si>
    <t>1.3</t>
  </si>
  <si>
    <t>SERVIÇOS PRELIMINARES</t>
  </si>
  <si>
    <t>CPU</t>
  </si>
  <si>
    <t>74209/001</t>
  </si>
  <si>
    <t>SINAPI</t>
  </si>
  <si>
    <t xml:space="preserve"> ESCAVACAO, CARGA E TRANSPORTE DE  MATERIAL DE 1A CATEGORIA COM TRATOR SOBRE ESTEIRAS 305 HP E CACAMBA 5M3,  DMT 50 A 200M</t>
  </si>
  <si>
    <t xml:space="preserve"> REGULARIZACAO E COMPACTACAO DE SUBLEITO ATE 20 CM DE ESPESSURA</t>
  </si>
  <si>
    <t>BASE DE SOLO ESTABILIZADO SEM MISTURA, COMPACTAÇÃO 100 % PROCTOR NORMAL COM ESPESSURA DE 20 CM</t>
  </si>
  <si>
    <t xml:space="preserve">TRANSPORTE COM CAMINHÃO BASCULANTE DE 10 M3, EM VIA URBANA EM REVESTIMENTO PRIMÁRIO (UNIDADE: M3XKM). AF_04/2016                                                          (BASE)  </t>
  </si>
  <si>
    <t>74154/001</t>
  </si>
  <si>
    <t xml:space="preserve"> IMPRIMACAO DE BASE DE PAVIMENTACAO COM ASFALTO DILUÍDO DE PETRÓLEO (ADP) CM-30  </t>
  </si>
  <si>
    <t>TRANSPORTE DE MATERIAL ASFALTICO, COM CAMINHÃO COM CAPACIDADE DE 30000 L  EM RODOVIA PAVIMENTADA PARA DISTÂNCIAS MÉDIAS DE TRANSPORTE SUPERIORES A 100 KM. AF_02/2016                                   (CM-30)</t>
  </si>
  <si>
    <t xml:space="preserve">PINTURA DE LIGACAO COM EMULSAO RR-2C  </t>
  </si>
  <si>
    <t>TRANSPORTE DE MATERIAL ASFALTICO, COM CAMINHÃO COM CAPACIDADE DE 30000 L  EM RODOVIA PAVIMENTADA PARA DISTÂNCIAS MÉDIAS DE TRANSPORTE SUPERIORES A 100 KM. AF_02/2016                                           (RR-2C)</t>
  </si>
  <si>
    <t>TRANSPORTE COM CAMINHÃO BASCULANTE 10 M3 DE MASSA ASFALTICA PARA PAVIM ENTAÇÃO URBANA</t>
  </si>
  <si>
    <t>TRANSPORTE DE MATERIAL ASFALTICO, COM CAMINHÃO COM CAPACIDADE DE 30000 L  EM RODOVIA PAVIMENTADA PARA DISTÂNCIAS MÉDIAS DE TRANSPORTE SUPERIORES A 100 KM. AF_02/2016    ( CAP-20  MATERIAL PARA FAZER A MASSA ASFALTICA).</t>
  </si>
  <si>
    <t>TRANSPORTE COM CAMINHÃO BASCULANTE 6 M3 EM RODOVIA PAVIMENTADA ( PARA DISTÂNCIAS SUPERIORES A 4 KM)                                                 (AREIA)</t>
  </si>
  <si>
    <t xml:space="preserve">TRANSPORTE COMERCIAL DE BRITA             </t>
  </si>
  <si>
    <t>MEIO-FIO E DRENAGEM</t>
  </si>
  <si>
    <t>GUIA (MEIO-FIO) E SARJETA CONJUGADOS DE CONCRETO, MOLDADA IN LOCO EM TRECHO RETO COM EXTRUSORA, GUIA 13,5 CM BASE X 26 CM ALTURA, SARJETA 45 CM BASE X 11 CM ALTURA. AF_06/2016</t>
  </si>
  <si>
    <t>SERVIÇOS COMPLEMENTARES</t>
  </si>
  <si>
    <t>CORDÃO DE CONCRETO  FCK= 15 MPA , DIMENSÕES 15X20 CM , FEITO IN LOCO</t>
  </si>
  <si>
    <t>MOBILIDADE E ACESSIBILIDADE URBANA</t>
  </si>
  <si>
    <t>EXECUÇÃO DE PASSEIO (CALÇADA) OU PISO DE CONCRETO COM CONCRETO MOLDADO  IN LOCO, FEITO EM OBRA, ACABAMENTO CONVENCIONAL, ESPESSURA 6 CM, ARMADO. AF_07/2016</t>
  </si>
  <si>
    <t>RAMPA PARA ACESSO DE DEFICIENTE, EM CONCRETO SIMPLES FCK = 15 MPA, DESEMPENADA, COM PINTURA INDICATIVA, 02 DEMÃOS</t>
  </si>
  <si>
    <t>FORECIMENTO E ASSENTAMENTO DE PISO TÁTIL DIRECIONAL  EM LADRILHO DE CONCRETO COM DIMENSÕES DE 20X20 CM, E= 2,5 CM, ASSENTADO COM ARGAMASSAMA CIMENTO, AREIA E ADITIVO IMPERMEABILIZATE.</t>
  </si>
  <si>
    <t>FORECIMENTO E ASSENTAMENTO DE PISO TÁTIL ALERTA  EM LADRILHO DE CONCRETO COLORIDO COM DIMENSÕES DE 20X20 CM, E= 2,5 CM, ASSENTADO COM ARGAMASSAMA CIMENTO,  AREIA E ADITIVO IMPERMEABILIZATE.</t>
  </si>
  <si>
    <t xml:space="preserve">SINALIZAÇÃO </t>
  </si>
  <si>
    <t>PINTURA ACRILICA PARA SINALIZAÇÃO HORIZONTAL EM PISO CIMENTADO</t>
  </si>
  <si>
    <t>CONCRETO FCK = 15MPA, TRAÇO 1:3,4:3,5 (CIMENTO/ AREIA MÉDIA/ BRITA 1) - PREPARO MECÂNICO COM BETONEIRA 400 L. AF_07/2016</t>
  </si>
  <si>
    <t>FORN. E IMPLANTAÇÃO PLACA DE SINALIZAÇÃO SEMI REFLETIVA</t>
  </si>
  <si>
    <t>PLACA ESMALTADA PARA IDENTIFICAÇÃO NR DE RUA, DIMENSÕES 45X25CM</t>
  </si>
  <si>
    <t>4 S 06 200 01</t>
  </si>
  <si>
    <t>73916/002</t>
  </si>
  <si>
    <t>DENIT</t>
  </si>
  <si>
    <t>CONTROLE TECNOLOGICO</t>
  </si>
  <si>
    <t>ENSAIOS DE REGULARIZACAO DO SUBLEITO</t>
  </si>
  <si>
    <t>ENSAIOS DE BASE ESTABILIZADA GRANULOMETRICAMENTE</t>
  </si>
  <si>
    <t>ENSAIOS DE CONCRETO ASFALTICO</t>
  </si>
  <si>
    <t>73900/001</t>
  </si>
  <si>
    <t>74021/003</t>
  </si>
  <si>
    <t>74021/006</t>
  </si>
  <si>
    <t>73900/012</t>
  </si>
  <si>
    <t>GL</t>
  </si>
  <si>
    <t>M²</t>
  </si>
  <si>
    <t>M³</t>
  </si>
  <si>
    <t>M³XKM</t>
  </si>
  <si>
    <t>TxKM</t>
  </si>
  <si>
    <t>T</t>
  </si>
  <si>
    <t>M3xKM</t>
  </si>
  <si>
    <t>M</t>
  </si>
  <si>
    <t>UNI.</t>
  </si>
  <si>
    <t>M3</t>
  </si>
  <si>
    <t>M2</t>
  </si>
  <si>
    <t>OBJETO:</t>
  </si>
  <si>
    <t>LOCAL:</t>
  </si>
  <si>
    <t>DESCRIÇÃO:</t>
  </si>
  <si>
    <t>CÓDIGO:</t>
  </si>
  <si>
    <t>Repet.</t>
  </si>
  <si>
    <t>Compr.</t>
  </si>
  <si>
    <t>CPU - COMPOSIÇÃO DE PREÇO UNITÁRIO</t>
  </si>
  <si>
    <t xml:space="preserve"> COMPOSIÇÃO DE PREÇO UNITÁRIO</t>
  </si>
  <si>
    <t>CPU001</t>
  </si>
  <si>
    <t>DESCRIÇÃO DO SERVIÇO</t>
  </si>
  <si>
    <t xml:space="preserve">DATA BASE: </t>
  </si>
  <si>
    <t>MOBILIZAÇÃO E DESMOBILIZAÇÃO</t>
  </si>
  <si>
    <t xml:space="preserve">UNIDADE: </t>
  </si>
  <si>
    <t>VB</t>
  </si>
  <si>
    <t>EQUIPAMENTO</t>
  </si>
  <si>
    <t>DISCRIMINAÇÃO</t>
  </si>
  <si>
    <t>UNIDADE</t>
  </si>
  <si>
    <t>QUANT.</t>
  </si>
  <si>
    <t>PROD</t>
  </si>
  <si>
    <t>IMPROD</t>
  </si>
  <si>
    <t>P.UN. PROD</t>
  </si>
  <si>
    <t>P.UN. IMPR</t>
  </si>
  <si>
    <t>P.TOTAL</t>
  </si>
  <si>
    <t>SUB-TOTAL</t>
  </si>
  <si>
    <t>MATERIAL</t>
  </si>
  <si>
    <t>P.UNIT.</t>
  </si>
  <si>
    <t>CAMINHÃO TOCO, PBT 14.300 KG, CARGA ÚTIL MÁX. 9.710 KG, DIST. ENTRE EIXOS 3,56 M, POTÊNCIA 185 CV, INCLUSIVE CARROCERIA FIXA ABERTA DE MADEIRA P/ TRANSPORTE GERAL DE CARGA SECA, DIMEN. APROX. 2,50 X 6,50 X 0,50
M - CHI DIURNO. AF_06/2014</t>
  </si>
  <si>
    <t>H</t>
  </si>
  <si>
    <t>CAMINHÃO BASCULANTE 6 M3 TOCO, PESO BRUTO TOTAL 16.000 KG, CARGA ÚTIL MÁXIMA 11.130 KG, DISTÂNCIA ENTRE EIXOS 5,36 M, POTÊNCIA 185 CV, INCLUSIVE CAÇAMBA METÁLICA - CHP DIURNO. AF_06/2014</t>
  </si>
  <si>
    <t>SERVIÇOS - COMPOSIÇÕES AUXILIARES</t>
  </si>
  <si>
    <t>MÃO DE OBRA</t>
  </si>
  <si>
    <t>PRODUÇÃO DA EQUIPE</t>
  </si>
  <si>
    <t xml:space="preserve">CUSTO </t>
  </si>
  <si>
    <t>TOTAL - R$</t>
  </si>
  <si>
    <t>BDI                %</t>
  </si>
  <si>
    <t>TOTAL DO SERVIÇO - R$</t>
  </si>
  <si>
    <t>CPU002</t>
  </si>
  <si>
    <t>CORDÃO DE CONCRETO  PRÉ-MOLDADO  15 X 20 CM PARA TRAVAMENTO DO PAVIMENTO</t>
  </si>
  <si>
    <t>ESCAVAÇÃO MANUAL DE VALAS. AF_03/2016</t>
  </si>
  <si>
    <t>FABRICAÇÃO DE FÔRMA PARA VIGAS, EM CHAPA DE MADEIRA COMPENSADA RESINADA E = 17 MM. AF_12/2015</t>
  </si>
  <si>
    <t>REATERRO DE VALA COM COMPACTAÇÃO MANUAL</t>
  </si>
  <si>
    <t>73964/006</t>
  </si>
  <si>
    <t>CPU003</t>
  </si>
  <si>
    <t>CIMENTOCIMENTO PORTLAND COMPOSTO CP II-32</t>
  </si>
  <si>
    <t>KG</t>
  </si>
  <si>
    <t>AREIA FINA - POSTO JAZIDA/FORNECEDOR (RETIRADO NA JAZIDA, SEM TRANSPORTE)</t>
  </si>
  <si>
    <t>MERCADO</t>
  </si>
  <si>
    <t>ADITIVO IMPERMEABILIZANTE DE PEGA NORMAL PARA ARGAMASSAS E CONCRETOS SEM ARMACAO</t>
  </si>
  <si>
    <t>PEDREIRO</t>
  </si>
  <si>
    <t>AJUDANTE DE PEDREIRO</t>
  </si>
  <si>
    <t>CPU004</t>
  </si>
  <si>
    <t>CPU005</t>
  </si>
  <si>
    <t>RAMPA PARA ACESSO DE DEFICIENTE, EM CONCRETO SIMPLES FCK = 15
MPA, DESEMPENADA, COM PINTURA INDICATIVA, 02 DEMÃOS</t>
  </si>
  <si>
    <t>DMTs</t>
  </si>
  <si>
    <t>DMT DA IMPRIMAÇÃO COM CM30 (REFINARIA BH ATÉ LOCAL DA OBRA)</t>
  </si>
  <si>
    <t>DMT DA PINTURA DE LIGAÇÃO COM RR-2C (REFINARIA BH ATÉ LOCAL DA OBRA)</t>
  </si>
  <si>
    <t>DMT DO MAT. BETUMINOSO PARA EXECUÇÃO DA MASSA ASFÁLTICA (REFINARIA BH ATÉ USINA MONTES CLAROS)</t>
  </si>
  <si>
    <t xml:space="preserve">DMT DA  BRITA </t>
  </si>
  <si>
    <t xml:space="preserve">DMT DA  AREIA  </t>
  </si>
  <si>
    <t xml:space="preserve">DMT DA JAZIDA ATÉ O LOCAL DA OBRA </t>
  </si>
  <si>
    <t>DMT DA BRITA CORRIDA</t>
  </si>
  <si>
    <t>DMT DO BOTA - FORA</t>
  </si>
  <si>
    <t>2,5 KM</t>
  </si>
  <si>
    <t>SUB TOTAL:</t>
  </si>
  <si>
    <t>VALOR DA OBRA:</t>
  </si>
  <si>
    <t>b)</t>
  </si>
  <si>
    <t>CONVENIO:</t>
  </si>
  <si>
    <t>CONTRAPARTIDA:</t>
  </si>
  <si>
    <t>PORCENTAGEM:</t>
  </si>
  <si>
    <t>d)</t>
  </si>
  <si>
    <t>c)</t>
  </si>
  <si>
    <t>PLANILHA ORÇAMENTÁRIA            a )</t>
  </si>
  <si>
    <t>1.0</t>
  </si>
  <si>
    <t>2.0</t>
  </si>
  <si>
    <t>3.0</t>
  </si>
  <si>
    <t>TOTAL GERAL</t>
  </si>
  <si>
    <t xml:space="preserve">PAVIMENTAÇÃO </t>
  </si>
  <si>
    <t>PAVIMENTAÇÃO</t>
  </si>
  <si>
    <t>MOB E ACESSIBILIDADE URBANA</t>
  </si>
  <si>
    <t>SINALIZAÇÃO</t>
  </si>
  <si>
    <t>CONTROLE TECNOLÓGICO</t>
  </si>
  <si>
    <t>6.0</t>
  </si>
  <si>
    <t>7.0</t>
  </si>
  <si>
    <t>8.0</t>
  </si>
  <si>
    <t>RECURSO DA UNIÃO</t>
  </si>
  <si>
    <t>Prefeito Municipal:</t>
  </si>
  <si>
    <t>PREFEITO MUNICIPAL</t>
  </si>
  <si>
    <t>EXECUÇÃO DE PAVIMENTAÇÃO ASFÁLTICA EM  PRÉ MISTURADO A FRIO - PMF</t>
  </si>
  <si>
    <r>
      <t xml:space="preserve">Obra: </t>
    </r>
    <r>
      <rPr>
        <sz val="10"/>
        <rFont val="Arial"/>
        <family val="2"/>
      </rPr>
      <t>PAVIMENTAÇÃO DE VIAS PÚBLICAS COM ASFALTO PMF</t>
    </r>
  </si>
  <si>
    <t>73759/002</t>
  </si>
  <si>
    <t>PRE-MISTURADO A FRIO COM EMULSAO RM-1C, INCLUSO USINAGEM E APLICACAO, EXCLUSIVE TRANSPORTE</t>
  </si>
  <si>
    <t>SINALIZACAO HORIZONTAL COM TINTA RETRORREFLETIVA A BASE DE RESINA ACRILICA COM MICROESFERAS DE VIDRO</t>
  </si>
  <si>
    <t>74022/036</t>
  </si>
  <si>
    <t>ENSAIO DE ADESIVIDADE - RESISTENCIA A AGUA - EMULSAO ASFALTICA</t>
  </si>
  <si>
    <t>DMT DO PMF (USINA EM MONTES CLAROS ATÉ O LOCAL DA OBRA)</t>
  </si>
  <si>
    <t>PREFEITURA MUNICIPAL DE BRASILIA DE MINAS/MG</t>
  </si>
  <si>
    <t>BRASILIA DE MINAS</t>
  </si>
  <si>
    <t xml:space="preserve">AJUDANTE DE PEDREITO </t>
  </si>
  <si>
    <t>2.1</t>
  </si>
  <si>
    <t>2.2</t>
  </si>
  <si>
    <t>2.3</t>
  </si>
  <si>
    <t>2.4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</si>
  <si>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</si>
  <si>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</si>
  <si>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</si>
  <si>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</si>
  <si>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</si>
  <si>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</si>
  <si>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</si>
  <si>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</si>
  <si>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</si>
  <si>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4.1</t>
  </si>
  <si>
    <t>5.1</t>
  </si>
  <si>
    <t>7.1</t>
  </si>
  <si>
    <t>6.1</t>
  </si>
  <si>
    <t>6.2</t>
  </si>
  <si>
    <t>6.3</t>
  </si>
  <si>
    <t>6.4</t>
  </si>
  <si>
    <t>7.2</t>
  </si>
  <si>
    <t>7.3</t>
  </si>
  <si>
    <t>8.1</t>
  </si>
  <si>
    <t>8.2</t>
  </si>
  <si>
    <t>8.3</t>
  </si>
  <si>
    <t>8.4</t>
  </si>
  <si>
    <t>PISO TÁTIL DIRECIONAL  EM LADRILHO DE CONCRETO COM DIMENSÕES DE 25X25CM, E= 5 CM, ASSENTADO COM ARGAMASSAMA PRÉ FABRICADA.</t>
  </si>
  <si>
    <t>PISO TÁTIL DIRECIONAL  EM LADRILHO DE CONCRETO COM DIMENSÕES DE 25X25 CM, E= 5 CM, ASSENTADO COM ARGAMASSAMA PRÉ FABRICADA.</t>
  </si>
  <si>
    <t>FORECIMENTO E ASSENTAMENTO DE PISO TÁTIL DIRECIONAL  EM LADRILHO DE CONCRETO COM DIMENSÕES DE 25X25 CM, E= 2,5 CM, ASSENTADO COM ARGAMASSAMA CIMENTO, AREIA E ADITIVO IMPERMEABILIZATE.</t>
  </si>
  <si>
    <t>FORECIMENTO E ASSENTAMENTO DE PISO TÁTIL ALERTA  EM LADRILHO DE CONCRETO COLORIDO COM DIMENSÕES DE 25X25 CM, E= 2,5 CM, ASSENTADO COM ARGAMASSAMA CIMENTO,  AREIA E ADITIVO IMPERMEABILIZATE.</t>
  </si>
  <si>
    <t>BRASILA DE MINAS MARÇO DE 2017</t>
  </si>
  <si>
    <t>PRISCILA VIANETE TEIXEIRA</t>
  </si>
  <si>
    <t>ENGENHEIRA CIVIL - CREA/MG 199246/D</t>
  </si>
  <si>
    <t>CR 1039247-42/2017</t>
  </si>
  <si>
    <t>GEELISON FERREIRA DA SILVA</t>
  </si>
  <si>
    <t xml:space="preserve">_________________________________
Priscila Vianete Teixeira
Crea nº 199.246/D
</t>
  </si>
  <si>
    <t xml:space="preserve">_________________________________
GEELISON FERREIRA DA SILVA
Prefeito Municipal
</t>
  </si>
  <si>
    <t>MEMORIA DE CÁLCULO</t>
  </si>
  <si>
    <t>Area total (m²)</t>
  </si>
  <si>
    <t>Repet</t>
  </si>
  <si>
    <t>Volume total (m³)</t>
  </si>
  <si>
    <t>Altura (+5cm p/ lastro)</t>
  </si>
  <si>
    <t>DESCRIÇÃO</t>
  </si>
  <si>
    <t xml:space="preserve">Altura </t>
  </si>
  <si>
    <t>Vol. Concreto fundação (m³)</t>
  </si>
  <si>
    <t>Vol. Concreto lastro (m³)</t>
  </si>
  <si>
    <t>Peso Total (Kg)</t>
  </si>
  <si>
    <t>Larg/Altura</t>
  </si>
  <si>
    <t>Quant. Lados</t>
  </si>
  <si>
    <t>Vol. total (m³)</t>
  </si>
  <si>
    <t>Vol. Escavação fundação (m³)</t>
  </si>
  <si>
    <t>VOL ESCAVAÇÃO - (VOL. CONCRETO+VOL. LASTRO)</t>
  </si>
  <si>
    <t>1.4</t>
  </si>
  <si>
    <t>1.5</t>
  </si>
  <si>
    <t>1.6</t>
  </si>
  <si>
    <t>1.1.1</t>
  </si>
  <si>
    <t>1.2.1</t>
  </si>
  <si>
    <t>1.2.2</t>
  </si>
  <si>
    <t>1.3.1</t>
  </si>
  <si>
    <t>1.3.2</t>
  </si>
  <si>
    <t>1.3.3</t>
  </si>
  <si>
    <t>1.3.4</t>
  </si>
  <si>
    <t>1.3.5</t>
  </si>
  <si>
    <t>1.4.1</t>
  </si>
  <si>
    <t>1.4.3</t>
  </si>
  <si>
    <t>Quant.</t>
  </si>
  <si>
    <t>Quant. total (und)</t>
  </si>
  <si>
    <t>INFRAESTRUTURA</t>
  </si>
  <si>
    <t>Compr.(+20cm p/ formas)</t>
  </si>
  <si>
    <t>Larg. (+20cm p/ formas)</t>
  </si>
  <si>
    <t>Compr. total (m)</t>
  </si>
  <si>
    <t>PERFURAÇÃO DE ESTACA BROCA A TRADO MECANIZADO D = 300 MM</t>
  </si>
  <si>
    <t>Área total (m²)</t>
  </si>
  <si>
    <t>Peso (KG)</t>
  </si>
  <si>
    <t>Altura (m)</t>
  </si>
  <si>
    <t>Larg. (m)</t>
  </si>
  <si>
    <t>Compr. (m)</t>
  </si>
  <si>
    <t xml:space="preserve">Área (m²) </t>
  </si>
  <si>
    <t>Taxa de empolamento 25%</t>
  </si>
  <si>
    <t>Vol. de reaterro</t>
  </si>
  <si>
    <t>SUPERESTRUTURA</t>
  </si>
  <si>
    <t xml:space="preserve">LAJE - BASE </t>
  </si>
  <si>
    <t>MESOESTRUTURA</t>
  </si>
  <si>
    <t>LADO 4,2</t>
  </si>
  <si>
    <t xml:space="preserve">LAJE </t>
  </si>
  <si>
    <t>Área (m²)</t>
  </si>
  <si>
    <t>Volume total (dm³)</t>
  </si>
  <si>
    <t>Peso (t)</t>
  </si>
  <si>
    <t>LANÇAMENTO DE VIGA METÁLICA - PONTE DE 08 METROS: 2.97 TONELADAS (2 VIGAS) - PONTE DE 10 METROS: 3.72 TONELADAS (2 VIGAS) - PONTE DE 12 METROS: 4.46 TONELADAS (2 VIGAS) - PONTE DE 15 METROS: 6.26 TONELADAS (2 VIGAS) - PONTE DE 18 METROS: 10.8 TONELADAS (3</t>
  </si>
  <si>
    <t>Peso total (kg)</t>
  </si>
  <si>
    <t>FORNECIMENTO E COLOCAÇÃO DE PLACA DE OBRA EM CHAPA GALVANIZADA (3,00 X 1,5 0 M) - EM CHAPA GALVANIZADA 0,26 AFIXADAS COM REBITES 540 E PARAFUSOS 3/8, EM ESTRUTURA METÁLICA VIGA U 2" ENRIJECIDA COM METALON 20 X 20, SUPORTE EM EUCALIPTO AUTOCLAVADO PINTADAS</t>
  </si>
  <si>
    <t>LOCAÇÃO TOPOGRÁFICA DE 20 A 50 PONTOS</t>
  </si>
  <si>
    <t>APILOAMENTO DO FUNDO DE VALAS COM PLACA</t>
  </si>
  <si>
    <t>LASTRO DE CONCRETO MAGRO, INCLUSIVE TRANSPORTE, LANÇAMENTO E ADENSAMENTO</t>
  </si>
  <si>
    <t>FORMA E DESFORMA DE COMPENSADO PLASTIFICADO, ESP. 14MM, REAPROVEITAMENTO (5X), EXCLUSIVE ESCORAMENTO</t>
  </si>
  <si>
    <t>CORTE, DOBRA E MONTAGEM DE AÇO CA-50/60</t>
  </si>
  <si>
    <t>FORNECIMENTO DE CONCRETO ESTRUTURAL, PREPARADO EM OBRA, COM FCK 25 MPA, INCLUSIVE LANÇAMENTO, ADENSAMENTO E ACABAMENTO</t>
  </si>
  <si>
    <t>REATERRO MANUAL DE VALA</t>
  </si>
  <si>
    <t>CARGA, TRANSPORTE E DESCARGA DE MATERIAL DE 1ª CATEGORIA, COM CAMINHÃO. DISTÂNCIA MÉDIA DE TRANSPORTE &lt;= 200 M</t>
  </si>
  <si>
    <t>FORNECIMENTO DE CONCRETO ESTRUTURAL, PREPARADO EM OBRA, COM FCK 20 MPA, INCLUSIVE LANÇAMENTO, ADENSAMENTO E ACABAMENTO</t>
  </si>
  <si>
    <t>APARELHOS DE APOIO EM NEOPRENE FRETADO (EXECUÇÃO, INCLUINDO A APLICAÇÃO, FORNECIMENTO E TRANSPORTE DOS MATERIAIS)</t>
  </si>
  <si>
    <t>1.1.2</t>
  </si>
  <si>
    <t>1.1.3</t>
  </si>
  <si>
    <t>1.2.3</t>
  </si>
  <si>
    <t>1.2.4</t>
  </si>
  <si>
    <t>1.2.5</t>
  </si>
  <si>
    <t>1.2.6</t>
  </si>
  <si>
    <t>1.2.7</t>
  </si>
  <si>
    <t>1.2.8</t>
  </si>
  <si>
    <t>1.2.9</t>
  </si>
  <si>
    <t>Peso (kg/m)</t>
  </si>
  <si>
    <t>TRANSVERSINA 2,60M</t>
  </si>
  <si>
    <t>CONECTORES 2,60</t>
  </si>
  <si>
    <t>Espessura</t>
  </si>
  <si>
    <t>Área. total (m²)</t>
  </si>
  <si>
    <t>1.1.4</t>
  </si>
  <si>
    <t>ESCAVAÇÃO E CARGA MECANIZADA EM MATERIAL DE 1ª CATEGORIA</t>
  </si>
  <si>
    <r>
      <t>Vol. Escavado (m³</t>
    </r>
    <r>
      <rPr>
        <b/>
        <i/>
        <sz val="12"/>
        <rFont val="Times New Roman"/>
        <family val="1"/>
      </rPr>
      <t>)</t>
    </r>
  </si>
  <si>
    <t>ESCAVAÇÃO MECÂNICA DE VALAS COM DESCARGA LATERAL H &lt;= 1,50 M</t>
  </si>
  <si>
    <t>REATERRO COMPACTADO DE VALA COM EQUIPAMENTO PLACA VIBRATÓRIA</t>
  </si>
  <si>
    <t>LONGARINA 18,0M</t>
  </si>
  <si>
    <t>Quantidade</t>
  </si>
  <si>
    <t>Compr. da estaca</t>
  </si>
  <si>
    <t>Quant. Blocos/pegão</t>
  </si>
  <si>
    <t>Repetição estacas</t>
  </si>
  <si>
    <t>Largura</t>
  </si>
  <si>
    <t>NIVEL SUPERIOR DA PONTE</t>
  </si>
  <si>
    <t>NIVEL INFERIOR DA PONTE</t>
  </si>
  <si>
    <t xml:space="preserve">RUA CORONEL SANSÃO, BRASILIA DE MINAS-MG </t>
  </si>
  <si>
    <t>SAPATA P1 - MODELO PEGÃO 1</t>
  </si>
  <si>
    <t>SAPATA P2 - MODELO PEGÃO 1</t>
  </si>
  <si>
    <t>SAPATA P1 - MODELO PEGÃO 2</t>
  </si>
  <si>
    <t>SAPATA P2 - MODELO PEGÃO 2</t>
  </si>
  <si>
    <t>MODELO PEGÃO 1</t>
  </si>
  <si>
    <t>MODELO PEGÃO 2</t>
  </si>
  <si>
    <t>SAPATA 4,50X1,60m</t>
  </si>
  <si>
    <t>SAPATA 3,10X1,60m</t>
  </si>
  <si>
    <t>SAPATA 3,80X1,60m</t>
  </si>
  <si>
    <t>SAPATA 10,00X1,60m</t>
  </si>
  <si>
    <t>PERIMETRO = 4,50+4,50+1,60+1,60</t>
  </si>
  <si>
    <t>PERIMETRO = 3,10+1,60+3,10+1,60</t>
  </si>
  <si>
    <t>PERIMETRO = 3,80+3,80+1,60+1,60</t>
  </si>
  <si>
    <t>PERIMETRO = 10+10+1,60+1,60</t>
  </si>
  <si>
    <t>154,74+861,84</t>
  </si>
  <si>
    <t xml:space="preserve">ESTACAS </t>
  </si>
  <si>
    <t>PILAR P1 - MODELO PEGÃO 1</t>
  </si>
  <si>
    <t>PILAR P1 - MODELO PEGÃO 2</t>
  </si>
  <si>
    <t>PILAR P2 - MODELO PEGÃO 1</t>
  </si>
  <si>
    <t>PILAR P2 - MODELO PEGÃO 2</t>
  </si>
  <si>
    <t>PILAR 4,15X0,50</t>
  </si>
  <si>
    <t>PILAR 2,75X0,50</t>
  </si>
  <si>
    <t>LAJE 18,0 x 4,20m</t>
  </si>
  <si>
    <t>LADO 18,0</t>
  </si>
  <si>
    <t xml:space="preserve">TABULEIRO </t>
  </si>
  <si>
    <t>PILAR 3,30X0,50</t>
  </si>
  <si>
    <t>PILAR 10X0,50</t>
  </si>
  <si>
    <t>Perimetro</t>
  </si>
  <si>
    <t>LAJE</t>
  </si>
  <si>
    <t>PREFEITO MUNICIPAL DE BRASILIA DE MINAS/MG</t>
  </si>
  <si>
    <t xml:space="preserve">ÁREA DERMACADA EM PROJETO PARA A PONTE ENCAIXAR </t>
  </si>
  <si>
    <t>DEMOLIÇÃO PARCIAL DO ASFALTO PARA CONSTRUÇÃO DE PEGÃO MODELO 1</t>
  </si>
  <si>
    <t xml:space="preserve">Espessura </t>
  </si>
  <si>
    <t xml:space="preserve">ESCAVAÇÃO DA FUTURA ÁREA A SER PAVIMENTADA </t>
  </si>
  <si>
    <t>ESVAÇÃO MODELO PEGÃO 1</t>
  </si>
  <si>
    <t xml:space="preserve">ESCAÇÃO PARA A CONSTRUÇÃO DOS PEGÃO </t>
  </si>
  <si>
    <t xml:space="preserve">REATERRO DEPOS DOS PEGÕES CONSTRUIDOS </t>
  </si>
  <si>
    <t>Logradouro</t>
  </si>
  <si>
    <t>Larg. c/sarj.</t>
  </si>
  <si>
    <t>Volume (m³)</t>
  </si>
  <si>
    <t>OBS:</t>
  </si>
  <si>
    <t>CM- 30 (T/m²)</t>
  </si>
  <si>
    <t>DMT</t>
  </si>
  <si>
    <t>Transporte (Txkm)</t>
  </si>
  <si>
    <t>Larg. sem/sarj.</t>
  </si>
  <si>
    <t>Área Total (m²)</t>
  </si>
  <si>
    <t>RR-2C (T/m²)</t>
  </si>
  <si>
    <t>Esp.</t>
  </si>
  <si>
    <t>Volume Total CBUQ  (m3)</t>
  </si>
  <si>
    <t>Transporte (TxKM)</t>
  </si>
  <si>
    <t>CBUQ (T/m³)</t>
  </si>
  <si>
    <t>ÁREA A SER PAVIMENTADA  - LADO DO PEGÃO 1</t>
  </si>
  <si>
    <t>ÁREA A SER PAVIMENTADA  - LADO DO PEGÃO 2</t>
  </si>
  <si>
    <t>GUARDO CORPO</t>
  </si>
  <si>
    <t>Comprimento (m)</t>
  </si>
  <si>
    <t>14+11,30</t>
  </si>
  <si>
    <t xml:space="preserve">AMPLIAÇÃO DA PONTE CORONEL SANSÃO </t>
  </si>
  <si>
    <t xml:space="preserve">PLANILHA ORÇAMENTÁRIA </t>
  </si>
  <si>
    <r>
      <t xml:space="preserve">PREFEITURA: </t>
    </r>
    <r>
      <rPr>
        <sz val="10"/>
        <rFont val="Times New Roman"/>
        <family val="1"/>
      </rPr>
      <t>PREFEITURA MUNICIPAL DE BRASILIA DE MINAS/MG</t>
    </r>
  </si>
  <si>
    <r>
      <t xml:space="preserve">LOCAL: </t>
    </r>
    <r>
      <rPr>
        <sz val="10"/>
        <rFont val="Times New Roman"/>
        <family val="1"/>
      </rPr>
      <t xml:space="preserve">RUA CORONEL SANSÃO, MUNICIPIO DE BRASILIA DE MINAS/MG 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</si>
  <si>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</si>
  <si>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DESCRIÇÃO</t>
    </r>
  </si>
  <si>
    <r>
      <rPr>
        <b/>
        <sz val="10"/>
        <rFont val="Times New Roman"/>
        <family val="1"/>
      </rPr>
      <t>FONTE</t>
    </r>
  </si>
  <si>
    <r>
      <rPr>
        <b/>
        <sz val="10"/>
        <rFont val="Times New Roman"/>
        <family val="1"/>
      </rPr>
      <t>UNID</t>
    </r>
  </si>
  <si>
    <r>
      <rPr>
        <b/>
        <sz val="10"/>
        <rFont val="Times New Roman"/>
        <family val="1"/>
      </rPr>
      <t>QUANTIDADE</t>
    </r>
  </si>
  <si>
    <r>
      <rPr>
        <b/>
        <sz val="10"/>
        <rFont val="Times New Roman"/>
        <family val="1"/>
      </rPr>
      <t>PREÇO UNITÁRIO R$</t>
    </r>
  </si>
  <si>
    <r>
      <rPr>
        <b/>
        <sz val="10"/>
        <rFont val="Times New Roman"/>
        <family val="1"/>
      </rPr>
      <t>PREÇO TOTAL R$</t>
    </r>
  </si>
  <si>
    <r>
      <rPr>
        <b/>
        <sz val="10"/>
        <rFont val="Times New Roman"/>
        <family val="1"/>
      </rPr>
      <t>SEM BDI</t>
    </r>
  </si>
  <si>
    <r>
      <rPr>
        <b/>
        <sz val="10"/>
        <rFont val="Times New Roman"/>
        <family val="1"/>
      </rPr>
      <t>COM BDI</t>
    </r>
  </si>
  <si>
    <r>
      <rPr>
        <b/>
        <sz val="10"/>
        <rFont val="Times New Roman"/>
        <family val="1"/>
      </rPr>
      <t>1</t>
    </r>
  </si>
  <si>
    <r>
      <rPr>
        <b/>
        <sz val="10"/>
        <rFont val="Times New Roman"/>
        <family val="1"/>
      </rPr>
      <t xml:space="preserve">SERVIÇOS PRELIMINARES </t>
    </r>
  </si>
  <si>
    <r>
      <rPr>
        <sz val="10"/>
        <rFont val="Times New Roman"/>
        <family val="1"/>
      </rPr>
      <t>1.1</t>
    </r>
  </si>
  <si>
    <r>
      <rPr>
        <sz val="10"/>
        <rFont val="Times New Roman"/>
        <family val="1"/>
      </rPr>
      <t>SETOP</t>
    </r>
  </si>
  <si>
    <r>
      <rPr>
        <sz val="10"/>
        <rFont val="Times New Roman"/>
        <family val="1"/>
      </rPr>
      <t>U</t>
    </r>
  </si>
  <si>
    <r>
      <rPr>
        <sz val="10"/>
        <rFont val="Times New Roman"/>
        <family val="1"/>
      </rPr>
      <t>1.2</t>
    </r>
  </si>
  <si>
    <r>
      <rPr>
        <sz val="10"/>
        <rFont val="Times New Roman"/>
        <family val="1"/>
      </rPr>
      <t>m2</t>
    </r>
  </si>
  <si>
    <r>
      <rPr>
        <sz val="10"/>
        <rFont val="Times New Roman"/>
        <family val="1"/>
      </rPr>
      <t>1.3</t>
    </r>
  </si>
  <si>
    <r>
      <rPr>
        <sz val="10"/>
        <rFont val="Times New Roman"/>
        <family val="1"/>
      </rPr>
      <t>m3</t>
    </r>
  </si>
  <si>
    <r>
      <rPr>
        <sz val="10"/>
        <rFont val="Times New Roman"/>
        <family val="1"/>
      </rPr>
      <t>1.4</t>
    </r>
  </si>
  <si>
    <r>
      <rPr>
        <sz val="10"/>
        <rFont val="Times New Roman"/>
        <family val="1"/>
      </rPr>
      <t>REATERRO COMPACTADO DE VALA COM EQUIPAMENTO PLACA VIBRATÓRIA</t>
    </r>
  </si>
  <si>
    <r>
      <rPr>
        <sz val="10"/>
        <rFont val="Times New Roman"/>
        <family val="1"/>
      </rPr>
      <t>1.5</t>
    </r>
  </si>
  <si>
    <r>
      <rPr>
        <sz val="10"/>
        <rFont val="Times New Roman"/>
        <family val="1"/>
      </rPr>
      <t>LOCAÇÃO TOPOGRÁFICA DE 20 A 50 PONTOS</t>
    </r>
  </si>
  <si>
    <r>
      <rPr>
        <b/>
        <sz val="10"/>
        <rFont val="Times New Roman"/>
        <family val="1"/>
      </rPr>
      <t>2</t>
    </r>
  </si>
  <si>
    <r>
      <rPr>
        <b/>
        <sz val="10"/>
        <rFont val="Times New Roman"/>
        <family val="1"/>
      </rPr>
      <t xml:space="preserve">INFRAESTRUTURA </t>
    </r>
  </si>
  <si>
    <r>
      <rPr>
        <sz val="10"/>
        <rFont val="Times New Roman"/>
        <family val="1"/>
      </rPr>
      <t>2.1</t>
    </r>
  </si>
  <si>
    <r>
      <rPr>
        <sz val="10"/>
        <rFont val="Times New Roman"/>
        <family val="1"/>
      </rPr>
      <t>ESCAVAÇÃO MECÂNICA DE VALAS COM DESCARGA LATERAL H &lt;= 1,50 M</t>
    </r>
  </si>
  <si>
    <r>
      <rPr>
        <sz val="10"/>
        <rFont val="Times New Roman"/>
        <family val="1"/>
      </rPr>
      <t>2.2</t>
    </r>
  </si>
  <si>
    <r>
      <rPr>
        <sz val="10"/>
        <rFont val="Times New Roman"/>
        <family val="1"/>
      </rPr>
      <t>m</t>
    </r>
  </si>
  <si>
    <r>
      <rPr>
        <sz val="10"/>
        <rFont val="Times New Roman"/>
        <family val="1"/>
      </rPr>
      <t>2.3</t>
    </r>
  </si>
  <si>
    <r>
      <rPr>
        <sz val="10"/>
        <rFont val="Times New Roman"/>
        <family val="1"/>
      </rPr>
      <t>APILOAMENTO DO FUNDO DE VALAS COM PLACA</t>
    </r>
  </si>
  <si>
    <r>
      <rPr>
        <sz val="10"/>
        <rFont val="Times New Roman"/>
        <family val="1"/>
      </rPr>
      <t>2.4</t>
    </r>
  </si>
  <si>
    <r>
      <rPr>
        <sz val="10"/>
        <rFont val="Times New Roman"/>
        <family val="1"/>
      </rPr>
      <t>LASTRO DE CONCRETO MAGRO, INCLUSIVE TRANSPORTE, LANÇAMENTO E ADENSAMENTO</t>
    </r>
  </si>
  <si>
    <r>
      <rPr>
        <sz val="10"/>
        <rFont val="Times New Roman"/>
        <family val="1"/>
      </rPr>
      <t>2.5</t>
    </r>
  </si>
  <si>
    <r>
      <rPr>
        <sz val="10"/>
        <rFont val="Times New Roman"/>
        <family val="1"/>
      </rPr>
      <t>FORMA E DESFORMA DE COMPENSADO PLASTIFICADO, ESP. 14MM, REAPROVEITAMENTO (5X), EXCLUSIVE ESCORAMENTO</t>
    </r>
  </si>
  <si>
    <r>
      <rPr>
        <sz val="10"/>
        <rFont val="Times New Roman"/>
        <family val="1"/>
      </rPr>
      <t>2.6</t>
    </r>
  </si>
  <si>
    <r>
      <rPr>
        <sz val="10"/>
        <rFont val="Times New Roman"/>
        <family val="1"/>
      </rPr>
      <t>CORTE, DOBRA E MONTAGEM DE AÇO CA-50/60</t>
    </r>
  </si>
  <si>
    <r>
      <rPr>
        <sz val="10"/>
        <rFont val="Times New Roman"/>
        <family val="1"/>
      </rPr>
      <t>Kg</t>
    </r>
  </si>
  <si>
    <r>
      <rPr>
        <sz val="10"/>
        <rFont val="Times New Roman"/>
        <family val="1"/>
      </rPr>
      <t>2.7</t>
    </r>
  </si>
  <si>
    <r>
      <rPr>
        <sz val="10"/>
        <rFont val="Times New Roman"/>
        <family val="1"/>
      </rPr>
      <t>FORNECIMENTO DE CONCRETO ESTRUTURAL, PREPARADO EM OBRA COM BETONEIRA, COM FCK 25 MPA, INCLUSIVE LANÇAMENTO, ADENSAMENTO E ACABAMENTO (FUNDAÇÃO)</t>
    </r>
  </si>
  <si>
    <r>
      <rPr>
        <sz val="10"/>
        <rFont val="Times New Roman"/>
        <family val="1"/>
      </rPr>
      <t>2.8</t>
    </r>
  </si>
  <si>
    <r>
      <rPr>
        <sz val="10"/>
        <rFont val="Times New Roman"/>
        <family val="1"/>
      </rPr>
      <t>REATERRO MANUAL DE VALA</t>
    </r>
  </si>
  <si>
    <r>
      <rPr>
        <sz val="10"/>
        <rFont val="Times New Roman"/>
        <family val="1"/>
      </rPr>
      <t>2.9</t>
    </r>
  </si>
  <si>
    <r>
      <rPr>
        <sz val="10"/>
        <rFont val="Times New Roman"/>
        <family val="1"/>
      </rPr>
      <t>M3</t>
    </r>
  </si>
  <si>
    <r>
      <rPr>
        <b/>
        <sz val="10"/>
        <rFont val="Times New Roman"/>
        <family val="1"/>
      </rPr>
      <t>3</t>
    </r>
  </si>
  <si>
    <r>
      <rPr>
        <b/>
        <sz val="10"/>
        <rFont val="Times New Roman"/>
        <family val="1"/>
      </rPr>
      <t xml:space="preserve">MESOESTRUTURA </t>
    </r>
  </si>
  <si>
    <r>
      <rPr>
        <sz val="10"/>
        <rFont val="Times New Roman"/>
        <family val="1"/>
      </rPr>
      <t>3.1</t>
    </r>
  </si>
  <si>
    <r>
      <rPr>
        <sz val="10"/>
        <rFont val="Times New Roman"/>
        <family val="1"/>
      </rPr>
      <t>3.2</t>
    </r>
  </si>
  <si>
    <r>
      <rPr>
        <sz val="10"/>
        <rFont val="Times New Roman"/>
        <family val="1"/>
      </rPr>
      <t>3.3</t>
    </r>
  </si>
  <si>
    <r>
      <rPr>
        <sz val="10"/>
        <rFont val="Times New Roman"/>
        <family val="1"/>
      </rPr>
      <t>FORNECIMENTO DE CONCRETO ESTRUTURAL, PREPARADO EM OBRA, COM FCK 25 MPA, INCLUSIVE LANÇAMENTO, ADENSAMENTO E ACABAMENTO</t>
    </r>
  </si>
  <si>
    <r>
      <rPr>
        <sz val="10"/>
        <rFont val="Times New Roman"/>
        <family val="1"/>
      </rPr>
      <t>3.4</t>
    </r>
  </si>
  <si>
    <r>
      <rPr>
        <sz val="10"/>
        <rFont val="Times New Roman"/>
        <family val="1"/>
      </rPr>
      <t>FORNECIMENTO DE CONCRETO ESTRUTURAL, PREPARADO EM OBRA, COM FCK 20 MPA, INCLUSIVE LANÇAMENTO, ADENSAMENTO E ACABAMENTO</t>
    </r>
  </si>
  <si>
    <r>
      <rPr>
        <sz val="10"/>
        <rFont val="Times New Roman"/>
        <family val="1"/>
      </rPr>
      <t>3.5</t>
    </r>
  </si>
  <si>
    <r>
      <rPr>
        <sz val="10"/>
        <rFont val="Times New Roman"/>
        <family val="1"/>
      </rPr>
      <t>DM3</t>
    </r>
  </si>
  <si>
    <r>
      <rPr>
        <b/>
        <sz val="10"/>
        <rFont val="Times New Roman"/>
        <family val="1"/>
      </rPr>
      <t>4</t>
    </r>
  </si>
  <si>
    <r>
      <rPr>
        <b/>
        <sz val="10"/>
        <rFont val="Times New Roman"/>
        <family val="1"/>
      </rPr>
      <t xml:space="preserve">SUPERESTRUTURA </t>
    </r>
  </si>
  <si>
    <r>
      <rPr>
        <sz val="10"/>
        <rFont val="Times New Roman"/>
        <family val="1"/>
      </rPr>
      <t>FORNECIMENTO DE ESTRUTURA METÁLICA EM PERFIL LAMINADO, INCLUSIVE FABRICAÇÃO, TRANSPORTE, MONTAGEM E APLICAÇÃO DE FUNDO PREPARADOR ANTICORROSIVO EM SUPERFÍCIE METÁLICA, UMA (1) DEMÃO</t>
    </r>
  </si>
  <si>
    <r>
      <rPr>
        <sz val="10"/>
        <rFont val="Times New Roman"/>
        <family val="1"/>
      </rPr>
      <t>LANÇAMENTO DE VIGA METÁLICA - PONTE DE 08 METROS: 2.97 TONELADAS (2 VIGAS) - PONTE DE 10 METROS: 3.72 TONELADAS (2 VIGAS) - PONTE DE 12 METROS: 4.46 TONELADAS (2 VIGAS) - PONTE DE 15 METROS: 6.26 TONELADAS (2 VIGAS) - PONTE DE 18 METROS: 10.8 TONELADAS (3</t>
    </r>
  </si>
  <si>
    <r>
      <rPr>
        <b/>
        <sz val="10"/>
        <rFont val="Times New Roman"/>
        <family val="1"/>
      </rPr>
      <t>5</t>
    </r>
  </si>
  <si>
    <r>
      <rPr>
        <b/>
        <sz val="10"/>
        <rFont val="Times New Roman"/>
        <family val="1"/>
      </rPr>
      <t xml:space="preserve">PAVIMENTAÇÃO </t>
    </r>
  </si>
  <si>
    <r>
      <rPr>
        <sz val="10"/>
        <rFont val="Times New Roman"/>
        <family val="1"/>
      </rPr>
      <t>5.1</t>
    </r>
  </si>
  <si>
    <r>
      <rPr>
        <sz val="10"/>
        <rFont val="Times New Roman"/>
        <family val="1"/>
      </rPr>
      <t>M2</t>
    </r>
  </si>
  <si>
    <r>
      <rPr>
        <sz val="10"/>
        <rFont val="Times New Roman"/>
        <family val="1"/>
      </rPr>
      <t>5.2</t>
    </r>
  </si>
  <si>
    <r>
      <rPr>
        <sz val="10"/>
        <rFont val="Times New Roman"/>
        <family val="1"/>
      </rPr>
      <t>TRANSPORTE DE MATERIAL DE QUALQUER NATUREZA. DISTÂNCIA MÉDIA DE TRANSPORTE &gt;= 50,10 KM</t>
    </r>
  </si>
  <si>
    <r>
      <rPr>
        <sz val="10"/>
        <rFont val="Times New Roman"/>
        <family val="1"/>
      </rPr>
      <t>TXKM</t>
    </r>
  </si>
  <si>
    <r>
      <rPr>
        <sz val="10"/>
        <rFont val="Times New Roman"/>
        <family val="1"/>
      </rPr>
      <t>5.3</t>
    </r>
  </si>
  <si>
    <r>
      <rPr>
        <sz val="10"/>
        <rFont val="Times New Roman"/>
        <family val="1"/>
      </rPr>
      <t>PINTURA DE LIGAÇÃO (EXECUÇÃO E FORNECIMENTO DO MATERIAL BETUMINOSO, EXCLUSIVE TRANSPORTE DO MATERIAL BETUMINOSO)</t>
    </r>
  </si>
  <si>
    <r>
      <rPr>
        <sz val="10"/>
        <rFont val="Times New Roman"/>
        <family val="1"/>
      </rPr>
      <t>5.4</t>
    </r>
  </si>
  <si>
    <r>
      <rPr>
        <sz val="10"/>
        <rFont val="Times New Roman"/>
        <family val="1"/>
      </rPr>
      <t>5.5</t>
    </r>
  </si>
  <si>
    <r>
      <rPr>
        <sz val="10"/>
        <rFont val="Times New Roman"/>
        <family val="1"/>
      </rPr>
      <t>EXECUÇÃO E APLICAÇÃO DE CONCRETO BETUMINOSO USINADO A QUENTE (CBUQ), MASSA COMERCIAL, INCLUINDO FORNECIMENTO E TRANSPORTE DOS AGREGADOS E MATERIAL BETUMINOSO, EXCLUSIVE TRANSPORTE DA MASSA ASFÁLTICA ATÉ A PISTA</t>
    </r>
  </si>
  <si>
    <r>
      <rPr>
        <sz val="10"/>
        <rFont val="Times New Roman"/>
        <family val="1"/>
      </rPr>
      <t>5.6</t>
    </r>
  </si>
  <si>
    <r>
      <rPr>
        <b/>
        <sz val="10"/>
        <rFont val="Times New Roman"/>
        <family val="1"/>
      </rPr>
      <t>6</t>
    </r>
  </si>
  <si>
    <r>
      <rPr>
        <b/>
        <sz val="10"/>
        <rFont val="Times New Roman"/>
        <family val="1"/>
      </rPr>
      <t xml:space="preserve">SERVIÇOS COMPLEMENTARES </t>
    </r>
  </si>
  <si>
    <r>
      <rPr>
        <sz val="10"/>
        <rFont val="Times New Roman"/>
        <family val="1"/>
      </rPr>
      <t>6.1</t>
    </r>
  </si>
  <si>
    <r>
      <rPr>
        <b/>
        <sz val="10"/>
        <rFont val="Times New Roman"/>
        <family val="1"/>
      </rPr>
      <t>VALOR BDI TOTAL:</t>
    </r>
  </si>
  <si>
    <r>
      <rPr>
        <b/>
        <sz val="10"/>
        <rFont val="Times New Roman"/>
        <family val="1"/>
      </rPr>
      <t>VALOR ORÇAMENTO:</t>
    </r>
  </si>
  <si>
    <r>
      <rPr>
        <b/>
        <sz val="10"/>
        <rFont val="Times New Roman"/>
        <family val="1"/>
      </rPr>
      <t>VALOR TOTAL:</t>
    </r>
  </si>
  <si>
    <t>PREFEITURA MUNICIPAL DE BRASILIA DE MINAS-MG</t>
  </si>
  <si>
    <r>
      <t xml:space="preserve">PRAZO DA OBRA: </t>
    </r>
    <r>
      <rPr>
        <sz val="10"/>
        <rFont val="Times New Roman"/>
        <family val="1"/>
      </rPr>
      <t>120 DIAS</t>
    </r>
  </si>
  <si>
    <t xml:space="preserve">CRONOGRAMA FISICO-FINANCEIRO </t>
  </si>
  <si>
    <t xml:space="preserve">PRAZO DA OBRA : 120 DIAS </t>
  </si>
  <si>
    <r>
      <rPr>
        <sz val="10"/>
        <rFont val="Times New Roman"/>
        <family val="1"/>
      </rPr>
      <t>DESCRIÇÃO</t>
    </r>
  </si>
  <si>
    <r>
      <rPr>
        <sz val="10"/>
        <rFont val="Times New Roman"/>
        <family val="1"/>
      </rPr>
      <t>VALOR (R$)</t>
    </r>
  </si>
  <si>
    <r>
      <rPr>
        <sz val="10"/>
        <rFont val="Times New Roman"/>
        <family val="1"/>
      </rPr>
      <t>MÊS 1</t>
    </r>
  </si>
  <si>
    <r>
      <rPr>
        <sz val="10"/>
        <rFont val="Times New Roman"/>
        <family val="1"/>
      </rPr>
      <t>MÊS 2</t>
    </r>
  </si>
  <si>
    <r>
      <rPr>
        <sz val="10"/>
        <rFont val="Times New Roman"/>
        <family val="1"/>
      </rPr>
      <t>MÊS 3</t>
    </r>
  </si>
  <si>
    <r>
      <rPr>
        <sz val="10"/>
        <rFont val="Times New Roman"/>
        <family val="1"/>
      </rPr>
      <t>MÊS 4</t>
    </r>
  </si>
  <si>
    <r>
      <rPr>
        <sz val="10"/>
        <rFont val="Times New Roman"/>
        <family val="1"/>
      </rPr>
      <t>Total parcela</t>
    </r>
  </si>
  <si>
    <r>
      <rPr>
        <sz val="10"/>
        <rFont val="Times New Roman"/>
        <family val="1"/>
      </rPr>
      <t xml:space="preserve">SERVIÇOS PRELIMINARES </t>
    </r>
  </si>
  <si>
    <r>
      <rPr>
        <sz val="10"/>
        <rFont val="Times New Roman"/>
        <family val="1"/>
      </rPr>
      <t xml:space="preserve">INFRAESTRUTURA </t>
    </r>
  </si>
  <si>
    <r>
      <rPr>
        <sz val="10"/>
        <rFont val="Times New Roman"/>
        <family val="1"/>
      </rPr>
      <t xml:space="preserve">MESOESTRUTURA </t>
    </r>
  </si>
  <si>
    <r>
      <rPr>
        <sz val="10"/>
        <rFont val="Times New Roman"/>
        <family val="1"/>
      </rPr>
      <t xml:space="preserve">SUPERESTRUTURA </t>
    </r>
  </si>
  <si>
    <r>
      <rPr>
        <sz val="10"/>
        <rFont val="Times New Roman"/>
        <family val="1"/>
      </rPr>
      <t xml:space="preserve">SERVIÇOS COMPLEMENTARES </t>
    </r>
  </si>
  <si>
    <r>
      <rPr>
        <sz val="10"/>
        <rFont val="Times New Roman"/>
        <family val="1"/>
      </rPr>
      <t>ITEM</t>
    </r>
  </si>
  <si>
    <r>
      <rPr>
        <sz val="10"/>
        <rFont val="Times New Roman"/>
        <family val="1"/>
      </rPr>
      <t>1</t>
    </r>
  </si>
  <si>
    <r>
      <rPr>
        <sz val="10"/>
        <rFont val="Times New Roman"/>
        <family val="1"/>
      </rPr>
      <t>2</t>
    </r>
    <r>
      <rPr>
        <sz val="11"/>
        <color indexed="8"/>
        <rFont val="Calibri"/>
        <family val="2"/>
      </rPr>
      <t/>
    </r>
  </si>
  <si>
    <r>
      <rPr>
        <sz val="10"/>
        <rFont val="Times New Roman"/>
        <family val="1"/>
      </rPr>
      <t>3</t>
    </r>
    <r>
      <rPr>
        <sz val="11"/>
        <color indexed="8"/>
        <rFont val="Calibri"/>
        <family val="2"/>
      </rPr>
      <t/>
    </r>
  </si>
  <si>
    <r>
      <rPr>
        <sz val="10"/>
        <rFont val="Times New Roman"/>
        <family val="1"/>
      </rPr>
      <t>4</t>
    </r>
    <r>
      <rPr>
        <sz val="11"/>
        <color indexed="8"/>
        <rFont val="Calibri"/>
        <family val="2"/>
      </rPr>
      <t/>
    </r>
  </si>
  <si>
    <r>
      <rPr>
        <sz val="10"/>
        <rFont val="Times New Roman"/>
        <family val="1"/>
      </rPr>
      <t>5</t>
    </r>
    <r>
      <rPr>
        <sz val="11"/>
        <color indexed="8"/>
        <rFont val="Calibri"/>
        <family val="2"/>
      </rPr>
      <t/>
    </r>
  </si>
  <si>
    <r>
      <rPr>
        <sz val="10"/>
        <rFont val="Times New Roman"/>
        <family val="1"/>
      </rPr>
      <t>6</t>
    </r>
    <r>
      <rPr>
        <sz val="11"/>
        <color indexed="8"/>
        <rFont val="Calibri"/>
        <family val="2"/>
      </rPr>
      <t/>
    </r>
  </si>
  <si>
    <t xml:space="preserve">QUADRO DE AÇO ESTACAS </t>
  </si>
  <si>
    <t>ALDIR MOREIRA FILHO</t>
  </si>
  <si>
    <t>ENGENHEIRO CIVIL CREA: MG 199.432/D</t>
  </si>
  <si>
    <t>MARCUS VINÍCIUS FERREIRA CARVALHO</t>
  </si>
  <si>
    <t>ED-28427</t>
  </si>
  <si>
    <t>FORNECIMENTO E COLOCAÇÃO DE PLACA DE OBRA EM CHAPA
GALVANIZADA #26, ESP. 0,45MM, DIMENSÃO (3X1,5)M, PLOTADA
COM ADESIVO VINÍLICO, AFIXADA COM REBITES 4,8X40MM, EM
ESTRUTURA METÁLICA DE METALON 20X20MM, ESP. 1,25MM,
INCLUSIVE SUPORTE EM EUCALIPTO AUTOCLAVADO PINTADO
COM TINTA PVA DUAS (2) DEMÃOS</t>
  </si>
  <si>
    <t>DEMOLIÇÃO DE REVESTIMENTO ASFÁLTICO COM EQUIPAMENTO PNEUMÁTICO, INCLUSIVE AFASTAMENTO</t>
  </si>
  <si>
    <t>ED-48492</t>
  </si>
  <si>
    <t>ED-51105</t>
  </si>
  <si>
    <t>ED-51121</t>
  </si>
  <si>
    <t>ED-50275</t>
  </si>
  <si>
    <t>ED-51111</t>
  </si>
  <si>
    <t>Expessura D=300mm</t>
  </si>
  <si>
    <t>ED-51094</t>
  </si>
  <si>
    <t>ED-29802</t>
  </si>
  <si>
    <t>ED-49812</t>
  </si>
  <si>
    <t>ED-49648</t>
  </si>
  <si>
    <t>ED-48298</t>
  </si>
  <si>
    <t>ED-49787</t>
  </si>
  <si>
    <t>ED-51120</t>
  </si>
  <si>
    <t>ED-49619</t>
  </si>
  <si>
    <t>ED-49618</t>
  </si>
  <si>
    <t>ED-49664</t>
  </si>
  <si>
    <t>ED-50428</t>
  </si>
  <si>
    <t>RO-41376</t>
  </si>
  <si>
    <t>RO-51229</t>
  </si>
  <si>
    <t>ED-7623</t>
  </si>
  <si>
    <t>TRANSPORTE DE MATERIAL DE QUALQUER NATUREZA. DISTÂNCIA MÉDIA DE TRANSPORTE &gt;= 50,10 KM</t>
  </si>
  <si>
    <t>ED-32059</t>
  </si>
  <si>
    <t>GUARDA-CORPO INTERNO, ALTURA 110CM, EM TUBO
GALVANIZADO, COM COSTURA, DIÂMETRO 2", ESP. 3MM, GRADIL
COM QUADRO EM BARRA CHATA (1.1/4"X3/16") E DIVISÃO
VERTICAL EM BARRA CHATA (1.1/2"X3/16"), INCLUSIVE CORRIMÃO
DUPLO, EXCLUSIVE PINTURA</t>
  </si>
  <si>
    <t>RO-00058</t>
  </si>
  <si>
    <t xml:space="preserve">OBRA:  </t>
  </si>
  <si>
    <t xml:space="preserve">DATA: </t>
  </si>
  <si>
    <t xml:space="preserve">SERVIÇO:  </t>
  </si>
  <si>
    <t>IMPRIMAÇÃO COM ASFALTO DILUÍDO CM-30</t>
  </si>
  <si>
    <t>TIPO ITEM</t>
  </si>
  <si>
    <t>CODIGO ITEM</t>
  </si>
  <si>
    <t>DESCRIÇÃO ITEM</t>
  </si>
  <si>
    <t>UNIDADE ITEM</t>
  </si>
  <si>
    <t>COEFICIENTE</t>
  </si>
  <si>
    <t>PRECO UNITARIO</t>
  </si>
  <si>
    <t>CUSTO TOTAL</t>
  </si>
  <si>
    <t>COMPOSICAO</t>
  </si>
  <si>
    <t xml:space="preserve">VASSOURA MECÂNICA REBOCÁVEL COM ESCOVA CILÍNDRICA, LARGURA ÚTIL DE VARRIMENTO DE 2,44 M </t>
  </si>
  <si>
    <t>CHP</t>
  </si>
  <si>
    <t>0,0020000</t>
  </si>
  <si>
    <t>CHI</t>
  </si>
  <si>
    <t>0,0040000</t>
  </si>
  <si>
    <t>INSUMO</t>
  </si>
  <si>
    <t>cotação</t>
  </si>
  <si>
    <t>ASFÁLTO DILUÍDO CM-30 + 18% ICMS</t>
  </si>
  <si>
    <t>ton</t>
  </si>
  <si>
    <t>ESPARGIDOR DE ASFALTO PRESSURIZADO, TANQUE 6 M3 COM ISOLAÇÃO TÉRMICA, AQUECIDO COM 2 MAÇARICOS, COM BARRA ESPARGIDORA 3,60 M, MONTADO SOBRE CAMINHÃO  TOCO, PBT 14.300 KG, POTÊNCIA 185 CV</t>
  </si>
  <si>
    <t>0,0010000</t>
  </si>
  <si>
    <t>SERVENTE COM ENCARGOS COMPLEMENTARES</t>
  </si>
  <si>
    <t>89035</t>
  </si>
  <si>
    <t xml:space="preserve">TRATOR DE PNEUS, POTÊNCIA 85 CV, TRAÇÃO 4X4, PESO COM LASTRO DE 4.675 KG </t>
  </si>
  <si>
    <t>CPU.1</t>
  </si>
  <si>
    <t>COTAÇÃO</t>
  </si>
  <si>
    <t>COT.1</t>
  </si>
  <si>
    <t>DATA BASE:</t>
  </si>
  <si>
    <t>DEMONSTRATIVO DO BDI - COM DESONERAÇÃO - OBRA DE EDIFICAÇÃO</t>
  </si>
  <si>
    <t>BDI (CONFORME ACÓRDÃO Nº 2622/13 e LEI Nº 13.161 DE 31/08/15)</t>
  </si>
  <si>
    <t>DISCRIMINAÇÃO DAS PARCELAS</t>
  </si>
  <si>
    <r>
      <t xml:space="preserve">SIG.
</t>
    </r>
    <r>
      <rPr>
        <b/>
        <vertAlign val="superscript"/>
        <sz val="8"/>
        <color indexed="9"/>
        <rFont val="Arial"/>
        <family val="2"/>
      </rPr>
      <t>(1)</t>
    </r>
  </si>
  <si>
    <t>CONSTRUÇÃO DE EDIFÍCIOS</t>
  </si>
  <si>
    <r>
      <t xml:space="preserve">INC.
</t>
    </r>
    <r>
      <rPr>
        <b/>
        <vertAlign val="superscript"/>
        <sz val="8"/>
        <color indexed="9"/>
        <rFont val="Arial"/>
        <family val="2"/>
      </rPr>
      <t>(5)</t>
    </r>
  </si>
  <si>
    <r>
      <t xml:space="preserve">ISS </t>
    </r>
    <r>
      <rPr>
        <b/>
        <vertAlign val="superscript"/>
        <sz val="8"/>
        <color indexed="9"/>
        <rFont val="Arial"/>
        <family val="2"/>
      </rPr>
      <t>(2)</t>
    </r>
  </si>
  <si>
    <t>DIFERENCIADO</t>
  </si>
  <si>
    <r>
      <t xml:space="preserve">MATERIAL
</t>
    </r>
    <r>
      <rPr>
        <b/>
        <vertAlign val="superscript"/>
        <sz val="8"/>
        <color indexed="9"/>
        <rFont val="Arial"/>
        <family val="2"/>
      </rPr>
      <t>(3)</t>
    </r>
  </si>
  <si>
    <r>
      <t xml:space="preserve">SERVIÇO TERCEIRIZADO </t>
    </r>
    <r>
      <rPr>
        <b/>
        <vertAlign val="superscript"/>
        <sz val="8"/>
        <color indexed="9"/>
        <rFont val="Arial"/>
        <family val="2"/>
      </rPr>
      <t xml:space="preserve">(4)
 </t>
    </r>
    <r>
      <rPr>
        <b/>
        <sz val="8"/>
        <color indexed="9"/>
        <rFont val="Arial"/>
        <family val="2"/>
      </rPr>
      <t>(ISS=5%)</t>
    </r>
  </si>
  <si>
    <t>CUSTO DIRETO</t>
  </si>
  <si>
    <t>CD</t>
  </si>
  <si>
    <t>ADMINISTRAÇÃO CENTRAL</t>
  </si>
  <si>
    <t>AC</t>
  </si>
  <si>
    <t>LUCRO BRUTO</t>
  </si>
  <si>
    <t>L</t>
  </si>
  <si>
    <t>DESPESAS FINANCEIRAS</t>
  </si>
  <si>
    <t>DF</t>
  </si>
  <si>
    <t>SEGUROS, GARANTIAS E RISCO</t>
  </si>
  <si>
    <t>SEGUROS + GARANTIAS</t>
  </si>
  <si>
    <t>S</t>
  </si>
  <si>
    <t>RISCO(*)</t>
  </si>
  <si>
    <t>R</t>
  </si>
  <si>
    <t>TRIBUTOS</t>
  </si>
  <si>
    <t>I</t>
  </si>
  <si>
    <t>PV</t>
  </si>
  <si>
    <t>ISS</t>
  </si>
  <si>
    <r>
      <t>ISS</t>
    </r>
    <r>
      <rPr>
        <vertAlign val="superscript"/>
        <sz val="8"/>
        <rFont val="Arial"/>
        <family val="2"/>
      </rPr>
      <t>(2)</t>
    </r>
  </si>
  <si>
    <t>-</t>
  </si>
  <si>
    <t>PIS</t>
  </si>
  <si>
    <t>COFINS</t>
  </si>
  <si>
    <t>CPRB</t>
  </si>
  <si>
    <t>INSS</t>
  </si>
  <si>
    <t>FÓRMULA DO BDI</t>
  </si>
  <si>
    <t>(1 + (AC + S + G + R)) x (1 + DF) x  (1 + L)</t>
  </si>
  <si>
    <t>(1 - (I + CPRB))</t>
  </si>
  <si>
    <t>BDI (NUMERADOR)</t>
  </si>
  <si>
    <t>BDI (DENOMINADOR)</t>
  </si>
  <si>
    <t>BDI</t>
  </si>
  <si>
    <t>OBSERVAÇÕES</t>
  </si>
  <si>
    <r>
      <rPr>
        <vertAlign val="superscript"/>
        <sz val="8"/>
        <rFont val="Arial"/>
        <family val="2"/>
      </rPr>
      <t xml:space="preserve">(1) </t>
    </r>
    <r>
      <rPr>
        <sz val="8"/>
        <rFont val="Arial"/>
        <family val="2"/>
      </rPr>
      <t>SIGLA.</t>
    </r>
    <r>
      <rPr>
        <vertAlign val="superscript"/>
        <sz val="8"/>
        <rFont val="Arial"/>
        <family val="2"/>
      </rPr>
      <t xml:space="preserve">
(2) </t>
    </r>
    <r>
      <rPr>
        <sz val="8"/>
        <rFont val="Arial"/>
        <family val="2"/>
      </rPr>
      <t xml:space="preserve">QUANTO AO ISS O TCU ORIENTA OBSERVAR A LEGISLAÇÃO DO MUNICÍPIO. NO REFERIDO ACÓRDÃO O TCU PARTIU DA PREMISSA DE INCIDÊNCIA DO ISS EM 50% DO PREÇO DE VENDA, COM PERCENTUAIS DE 2%, 3%, 4% E 5%.
</t>
    </r>
    <r>
      <rPr>
        <vertAlign val="superscript"/>
        <sz val="8"/>
        <rFont val="Arial"/>
        <family val="2"/>
      </rPr>
      <t xml:space="preserve">(3) </t>
    </r>
    <r>
      <rPr>
        <sz val="8"/>
        <rFont val="Arial"/>
        <family val="2"/>
      </rPr>
      <t xml:space="preserve">BDI DIFERENCIADO A SER APLICADO EM CASOS DE FORNECIMENTO DE MATERIAIS E EQUIPAMENTOS. EX. ELEVADOR, ESCADAS ROLANTES, EQUIPAMENTOS DE REFRIGERAÇÃO ETC.
</t>
    </r>
    <r>
      <rPr>
        <vertAlign val="superscript"/>
        <sz val="8"/>
        <rFont val="Arial"/>
        <family val="2"/>
      </rPr>
      <t xml:space="preserve">(4) </t>
    </r>
    <r>
      <rPr>
        <sz val="8"/>
        <rFont val="Arial"/>
        <family val="2"/>
      </rPr>
      <t xml:space="preserve">BDI DIFERENCIADO A SER APLICADO PARA SERVIÇOS TERCEIRIZADOS.
</t>
    </r>
    <r>
      <rPr>
        <vertAlign val="superscript"/>
        <sz val="8"/>
        <rFont val="Arial"/>
        <family val="2"/>
      </rPr>
      <t xml:space="preserve">(5) </t>
    </r>
    <r>
      <rPr>
        <sz val="8"/>
        <rFont val="Arial"/>
        <family val="2"/>
      </rPr>
      <t>INCIDÊNCIA.</t>
    </r>
  </si>
  <si>
    <t>*Informamos que está em análise o pleito apresentado pelo Ofício nº 042/24-S, do Sindicato da Indústria da Construção Pesada de Minas Gerais (SICEPOT-MG), referente ao posicionamento do colegiado da Segunda Turma do Superior Tribunal de Justiça (STJ), no AREsp nº 2.486.358/SP, relatado pelo Ministro Herman Benjamin, julgado em 13/05/2024, com publicação no DJe de 29/05/2024, que versa sobre a aplicação da dedução na base de cálculo do Imposto Sobre Serviços de Qualquer Natureza (ISSQN).</t>
  </si>
  <si>
    <t>01/10/2024 - SICOR-MG DESONERADO</t>
  </si>
  <si>
    <t>AMPLIAÇÃO DA PONTE CORONEL SANSÃO, NO MUNICIPIO DE BRASILIA DE MINAS/MG</t>
  </si>
  <si>
    <r>
      <t xml:space="preserve">OBRA: </t>
    </r>
    <r>
      <rPr>
        <sz val="10"/>
        <rFont val="Times New Roman"/>
        <family val="1"/>
      </rPr>
      <t>AMPLIAÇÃO DA PONTE CORONEL SANSÃO, NO MUNICIPIO DE BRASILIA DE MINAS/MG</t>
    </r>
  </si>
  <si>
    <t>OBRA:AMPLIAÇÃO DA PONTE CORONEL SANSÃO, NO MUNICIPIO DE BRASILIA DE MINAS/MG</t>
  </si>
  <si>
    <t>DEMONSTRATIVO DO BDI - COM DESONERAÇÃO - OBRA RODOVIÁRIA</t>
  </si>
  <si>
    <r>
      <t xml:space="preserve">SIG.
</t>
    </r>
    <r>
      <rPr>
        <b/>
        <vertAlign val="superscript"/>
        <sz val="8"/>
        <color indexed="9"/>
        <rFont val="Arial"/>
        <family val="2"/>
      </rPr>
      <t>(1)</t>
    </r>
  </si>
  <si>
    <t>CONSTRUÇÃO DE RODOVIAS E FERROVIAS</t>
  </si>
  <si>
    <r>
      <t xml:space="preserve">INC.
</t>
    </r>
    <r>
      <rPr>
        <b/>
        <vertAlign val="superscript"/>
        <sz val="8"/>
        <color indexed="9"/>
        <rFont val="Arial"/>
        <family val="2"/>
      </rPr>
      <t>(6)</t>
    </r>
  </si>
  <si>
    <r>
      <t xml:space="preserve">ISS </t>
    </r>
    <r>
      <rPr>
        <b/>
        <vertAlign val="superscript"/>
        <sz val="8"/>
        <color indexed="9"/>
        <rFont val="Arial"/>
        <family val="2"/>
      </rPr>
      <t>(2)</t>
    </r>
  </si>
  <si>
    <r>
      <t xml:space="preserve">MATERIAL
</t>
    </r>
    <r>
      <rPr>
        <b/>
        <vertAlign val="superscript"/>
        <sz val="8"/>
        <color indexed="9"/>
        <rFont val="Arial"/>
        <family val="2"/>
      </rPr>
      <t>(5)</t>
    </r>
  </si>
  <si>
    <r>
      <t xml:space="preserve">SERVIÇO TERCEIRIZADO
</t>
    </r>
    <r>
      <rPr>
        <b/>
        <vertAlign val="superscript"/>
        <sz val="8"/>
        <color indexed="9"/>
        <rFont val="Arial"/>
        <family val="2"/>
      </rPr>
      <t>(4)</t>
    </r>
    <r>
      <rPr>
        <b/>
        <sz val="8"/>
        <color indexed="9"/>
        <rFont val="Arial"/>
        <family val="2"/>
      </rPr>
      <t xml:space="preserve">
(ISS=5%)</t>
    </r>
  </si>
  <si>
    <r>
      <t xml:space="preserve">EQUIPAMENTO
</t>
    </r>
    <r>
      <rPr>
        <b/>
        <vertAlign val="superscript"/>
        <sz val="8"/>
        <color indexed="9"/>
        <rFont val="Arial"/>
        <family val="2"/>
      </rPr>
      <t xml:space="preserve">(3)
</t>
    </r>
    <r>
      <rPr>
        <b/>
        <sz val="8"/>
        <color indexed="9"/>
        <rFont val="Arial"/>
        <family val="2"/>
      </rPr>
      <t>(ISS=5%)</t>
    </r>
  </si>
  <si>
    <r>
      <rPr>
        <vertAlign val="superscript"/>
        <sz val="8"/>
        <rFont val="Arial"/>
        <family val="2"/>
      </rPr>
      <t>(1)</t>
    </r>
    <r>
      <rPr>
        <sz val="8"/>
        <rFont val="Arial"/>
        <family val="2"/>
      </rPr>
      <t xml:space="preserve"> SIGLA.
</t>
    </r>
    <r>
      <rPr>
        <vertAlign val="superscript"/>
        <sz val="8"/>
        <rFont val="Arial"/>
        <family val="2"/>
      </rPr>
      <t xml:space="preserve">(2) </t>
    </r>
    <r>
      <rPr>
        <sz val="8"/>
        <rFont val="Arial"/>
        <family val="2"/>
      </rPr>
      <t xml:space="preserve">INCIDÊNCIA DE ISS EM 70% DO PREÇO DE VENDA, COM PERCENTUAIS DE 2%, 3%, 4% E 5%.
</t>
    </r>
    <r>
      <rPr>
        <vertAlign val="superscript"/>
        <sz val="8"/>
        <rFont val="Arial"/>
        <family val="2"/>
      </rPr>
      <t xml:space="preserve">(3) </t>
    </r>
    <r>
      <rPr>
        <sz val="8"/>
        <rFont val="Arial"/>
        <family val="2"/>
      </rPr>
      <t xml:space="preserve">BDI DIFERENCIADO A SER APLICADO EM LOCAÇÃO DE CUSTO HORÁRIO DE EQUIPAMENTO.
</t>
    </r>
    <r>
      <rPr>
        <vertAlign val="superscript"/>
        <sz val="8"/>
        <rFont val="Arial"/>
        <family val="2"/>
      </rPr>
      <t xml:space="preserve">(4) </t>
    </r>
    <r>
      <rPr>
        <sz val="8"/>
        <rFont val="Arial"/>
        <family val="2"/>
      </rPr>
      <t xml:space="preserve">BDI DIFERENCIADO A SER APLICADO PARA SERVIÇOS TERCEIRIZADOS.
</t>
    </r>
    <r>
      <rPr>
        <vertAlign val="superscript"/>
        <sz val="8"/>
        <rFont val="Arial"/>
        <family val="2"/>
      </rPr>
      <t xml:space="preserve">(5) </t>
    </r>
    <r>
      <rPr>
        <sz val="8"/>
        <rFont val="Arial"/>
        <family val="2"/>
      </rPr>
      <t xml:space="preserve">BDI DIFERENCIADO A SER APLICADO PARA FORNECIMENTO DE MATERIAL BETUMINOSO E MATERIAL DE JAZIDA.
</t>
    </r>
    <r>
      <rPr>
        <vertAlign val="superscript"/>
        <sz val="8"/>
        <rFont val="Arial"/>
        <family val="2"/>
      </rPr>
      <t xml:space="preserve">(6) </t>
    </r>
    <r>
      <rPr>
        <sz val="8"/>
        <rFont val="Arial"/>
        <family val="2"/>
      </rPr>
      <t>INCIDÊNCIA.</t>
    </r>
  </si>
  <si>
    <t>BDI OBRA DE EDIFICAÇÃO:</t>
  </si>
  <si>
    <t>BDI OBRA RODOVIÁRIA:</t>
  </si>
  <si>
    <r>
      <t xml:space="preserve">DATA: </t>
    </r>
    <r>
      <rPr>
        <sz val="10"/>
        <rFont val="Times New Roman"/>
        <family val="1"/>
      </rPr>
      <t>07/01/2025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</si>
</sst>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7">
    <numFmt numFmtId="43" formatCode="_-* #,##0.00_-;\-* #,##0.00_-;_-* &quot;-&quot;??_-;_-@_-"/>
    <numFmt numFmtId="173" formatCode="_(* #,##0.00_);_(* \(#,##0.00\);_(* &quot;-&quot;??_);_(@_)"/>
    <numFmt numFmtId="174" formatCode="[$-416]mmmm\-yyyy;@"/>
    <numFmt numFmtId="177" formatCode="0.000"/>
    <numFmt numFmtId="178" formatCode="#,##0.0"/>
    <numFmt numFmtId="179" formatCode="0.000000%"/>
    <numFmt numFmtId="180" formatCode="0.0000000000"/>
    <numFmt numFmtId="181" formatCode="0.000000000000"/>
    <numFmt numFmtId="183" formatCode="_(* #,##0.00000000_);_(* \(#,##0.00000000\);_(* &quot;-&quot;??_);_(@_)"/>
    <numFmt numFmtId="184" formatCode="_(* #,##0.000000000_);_(* \(#,##0.000000000\);_(* &quot;-&quot;??_);_(@_)"/>
    <numFmt numFmtId="185" formatCode="_(* #,##0.0000000000_);_(* \(#,##0.0000000000\);_(* &quot;-&quot;??_);_(@_)"/>
    <numFmt numFmtId="186" formatCode="_(* #,##0.0000000000_);_(* \(#,##0.0000000000\);_(* &quot;-&quot;??????????_);_(@_)"/>
    <numFmt numFmtId="187" formatCode="_(* #,##0.00000000_);_(* \(#,##0.00000000\);_(* &quot;-&quot;????????_);_(@_)"/>
    <numFmt numFmtId="188" formatCode="_(* #,##0.0000000_);_(* \(#,##0.0000000\);_(* &quot;-&quot;?????????_);_(@_)"/>
    <numFmt numFmtId="189" formatCode="_(* #,##0.000_);_(* \(#,##0.000\);_(* &quot;-&quot;???_);_(@_)"/>
    <numFmt numFmtId="191" formatCode="_(* #,##0.00000000000000000_);_(* \(#,##0.00000000000000000\);_(* &quot;-&quot;??_);_(@_)"/>
    <numFmt numFmtId="193" formatCode="&quot;R$&quot;\ #,##0.00"/>
    <numFmt numFmtId="195" formatCode="#,##0.0000"/>
    <numFmt numFmtId="196" formatCode="0.00000"/>
    <numFmt numFmtId="197" formatCode="&quot;R$ &quot;#,##0.00_);[Red]\(&quot;R$ &quot;#,##0.00\)"/>
    <numFmt numFmtId="198" formatCode="#,##0.00\ &quot;KM&quot;"/>
    <numFmt numFmtId="199" formatCode="#,##0.000000"/>
    <numFmt numFmtId="200" formatCode="&quot;R$&quot;\ #,##0.000000"/>
    <numFmt numFmtId="211" formatCode="#,##0.0000%"/>
    <numFmt numFmtId="216" formatCode="#,##0%"/>
    <numFmt numFmtId="219" formatCode="[$-416]mmm\-yy;@"/>
    <numFmt numFmtId="220" formatCode="0.000%"/>
  </numFmts>
  <fonts count="61">
    <font>
      <sz val="10"/>
      <name val="Arial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4"/>
      <name val="Arial"/>
      <family val="2"/>
    </font>
    <font>
      <sz val="1"/>
      <name val="Arial"/>
      <family val="2"/>
    </font>
    <font>
      <b/>
      <sz val="9"/>
      <color indexed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sz val="10"/>
      <name val="Swis721 Md BT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10"/>
      <color indexed="56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8"/>
      <name val="Arial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sz val="10"/>
      <name val="Courier New"/>
      <family val="3"/>
    </font>
    <font>
      <b/>
      <sz val="13"/>
      <name val="Arial"/>
      <family val="2"/>
    </font>
    <font>
      <sz val="12"/>
      <name val="Arial Black"/>
      <family val="2"/>
    </font>
    <font>
      <b/>
      <sz val="8"/>
      <color indexed="9"/>
      <name val="Arial"/>
      <family val="2"/>
    </font>
    <font>
      <b/>
      <vertAlign val="superscript"/>
      <sz val="8"/>
      <color indexed="9"/>
      <name val="Arial"/>
      <family val="2"/>
    </font>
    <font>
      <vertAlign val="superscript"/>
      <sz val="8"/>
      <name val="Arial"/>
      <family val="2"/>
    </font>
    <font>
      <b/>
      <u/>
      <sz val="8"/>
      <name val="Arial"/>
      <family val="2"/>
    </font>
    <font>
      <b/>
      <sz val="8"/>
      <color indexed="9"/>
      <name val="Arial"/>
      <family val="2"/>
    </font>
    <font>
      <b/>
      <vertAlign val="superscript"/>
      <sz val="8"/>
      <color indexed="9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1"/>
      <name val="Calibri"/>
      <family val="2"/>
      <scheme val="minor"/>
    </font>
    <font>
      <b/>
      <sz val="8"/>
      <color theme="0"/>
      <name val="Arial"/>
      <family val="2"/>
    </font>
    <font>
      <sz val="9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b/>
      <sz val="10"/>
      <color theme="1"/>
      <name val="Arial"/>
      <family val="2"/>
    </font>
    <font>
      <b/>
      <sz val="10"/>
      <color theme="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CCCC"/>
      </patternFill>
    </fill>
    <fill>
      <patternFill patternType="solid">
        <fgColor rgb="FFDFDFDF"/>
      </patternFill>
    </fill>
    <fill>
      <patternFill patternType="solid">
        <fgColor rgb="FF4F81BD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58800012207406E-2"/>
        <bgColor indexed="64"/>
      </patternFill>
    </fill>
    <fill>
      <patternFill patternType="solid">
        <fgColor theme="1" tint="4.9989318521683403E-2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C0504D"/>
        <bgColor indexed="64"/>
      </patternFill>
    </fill>
    <fill>
      <patternFill patternType="solid">
        <fgColor rgb="FFF2DCDB"/>
        <bgColor indexed="64"/>
      </patternFill>
    </fill>
  </fills>
  <borders count="10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indexed="64"/>
      </bottom>
      <diagonal/>
    </border>
    <border>
      <left/>
      <right style="hair">
        <color theme="1"/>
      </right>
      <top style="hair">
        <color theme="1"/>
      </top>
      <bottom/>
      <diagonal/>
    </border>
    <border>
      <left/>
      <right style="hair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/>
      <diagonal/>
    </border>
    <border>
      <left/>
      <right/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</borders>
  <cellStyleXfs count="11">
    <xf numFmtId="0" fontId="0" fillId="0" borderId="0"/>
    <xf numFmtId="0" fontId="3" fillId="0" borderId="0"/>
    <xf numFmtId="0" fontId="45" fillId="0" borderId="0"/>
    <xf numFmtId="0" fontId="3" fillId="0" borderId="0"/>
    <xf numFmtId="3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/>
    <xf numFmtId="173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173" fontId="3" fillId="0" borderId="0" applyFont="0" applyFill="0" applyBorder="0" applyAlignment="0" applyProtection="0"/>
  </cellStyleXfs>
  <cellXfs count="884">
    <xf numFmtId="0" fontId="0" fillId="0" borderId="0" xfId="0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horizontal="centerContinuous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0" fontId="6" fillId="3" borderId="8" xfId="0" applyFont="1" applyFill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0" fontId="6" fillId="3" borderId="11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173" fontId="6" fillId="0" borderId="0" xfId="8" applyFont="1" applyAlignment="1">
      <alignment vertical="center"/>
    </xf>
    <xf numFmtId="173" fontId="6" fillId="0" borderId="0" xfId="8" applyFont="1" applyAlignment="1">
      <alignment horizontal="left" vertical="center"/>
    </xf>
    <xf numFmtId="173" fontId="6" fillId="0" borderId="1" xfId="8" applyFont="1" applyBorder="1" applyAlignment="1">
      <alignment horizontal="left" vertical="center"/>
    </xf>
    <xf numFmtId="173" fontId="7" fillId="0" borderId="0" xfId="8" applyFont="1" applyAlignment="1">
      <alignment vertical="center"/>
    </xf>
    <xf numFmtId="173" fontId="6" fillId="0" borderId="5" xfId="8" applyFont="1" applyBorder="1" applyAlignment="1">
      <alignment vertical="center"/>
    </xf>
    <xf numFmtId="173" fontId="6" fillId="0" borderId="7" xfId="8" applyFont="1" applyBorder="1" applyAlignment="1">
      <alignment vertical="center"/>
    </xf>
    <xf numFmtId="173" fontId="0" fillId="3" borderId="14" xfId="8" applyFont="1" applyFill="1" applyBorder="1" applyAlignment="1">
      <alignment vertical="center"/>
    </xf>
    <xf numFmtId="173" fontId="5" fillId="3" borderId="15" xfId="8" applyFont="1" applyFill="1" applyBorder="1" applyAlignment="1">
      <alignment horizontal="right" vertical="center"/>
    </xf>
    <xf numFmtId="173" fontId="0" fillId="0" borderId="0" xfId="8" applyFont="1" applyAlignment="1">
      <alignment vertical="center"/>
    </xf>
    <xf numFmtId="173" fontId="0" fillId="0" borderId="3" xfId="8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3" borderId="10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10" fillId="0" borderId="5" xfId="0" applyFont="1" applyBorder="1" applyAlignment="1">
      <alignment horizontal="left" vertical="center"/>
    </xf>
    <xf numFmtId="10" fontId="10" fillId="0" borderId="4" xfId="0" applyNumberFormat="1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7" xfId="0" applyFont="1" applyBorder="1" applyAlignment="1">
      <alignment horizontal="left" vertical="center"/>
    </xf>
    <xf numFmtId="10" fontId="10" fillId="0" borderId="6" xfId="0" applyNumberFormat="1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3" xfId="0" applyFont="1" applyBorder="1" applyAlignment="1">
      <alignment vertical="center"/>
    </xf>
    <xf numFmtId="0" fontId="3" fillId="0" borderId="0" xfId="0" applyFont="1"/>
    <xf numFmtId="0" fontId="3" fillId="0" borderId="16" xfId="0" applyFont="1" applyBorder="1"/>
    <xf numFmtId="0" fontId="2" fillId="0" borderId="0" xfId="0" applyFont="1"/>
    <xf numFmtId="0" fontId="0" fillId="0" borderId="17" xfId="0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16" xfId="0" applyFont="1" applyBorder="1" applyAlignment="1">
      <alignment horizontal="center"/>
    </xf>
    <xf numFmtId="173" fontId="3" fillId="0" borderId="0" xfId="8"/>
    <xf numFmtId="0" fontId="6" fillId="4" borderId="22" xfId="0" applyFont="1" applyFill="1" applyBorder="1" applyAlignment="1">
      <alignment wrapText="1"/>
    </xf>
    <xf numFmtId="0" fontId="6" fillId="0" borderId="23" xfId="0" applyFont="1" applyBorder="1" applyAlignment="1">
      <alignment wrapText="1"/>
    </xf>
    <xf numFmtId="0" fontId="6" fillId="4" borderId="24" xfId="0" applyFont="1" applyFill="1" applyBorder="1" applyAlignment="1">
      <alignment wrapText="1"/>
    </xf>
    <xf numFmtId="4" fontId="6" fillId="0" borderId="25" xfId="0" applyNumberFormat="1" applyFont="1" applyBorder="1" applyAlignment="1" applyProtection="1">
      <alignment horizontal="right"/>
      <protection locked="0"/>
    </xf>
    <xf numFmtId="4" fontId="6" fillId="0" borderId="22" xfId="0" applyNumberFormat="1" applyFont="1" applyBorder="1" applyAlignment="1" applyProtection="1">
      <alignment horizontal="right"/>
      <protection locked="0"/>
    </xf>
    <xf numFmtId="4" fontId="6" fillId="0" borderId="26" xfId="0" applyNumberFormat="1" applyFont="1" applyBorder="1" applyAlignment="1" applyProtection="1">
      <alignment horizontal="right"/>
      <protection locked="0"/>
    </xf>
    <xf numFmtId="0" fontId="10" fillId="0" borderId="24" xfId="0" applyFont="1" applyBorder="1"/>
    <xf numFmtId="173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0" fontId="5" fillId="4" borderId="27" xfId="0" applyFont="1" applyFill="1" applyBorder="1" applyAlignment="1">
      <alignment horizontal="center"/>
    </xf>
    <xf numFmtId="0" fontId="5" fillId="0" borderId="23" xfId="0" applyFont="1" applyBorder="1" applyAlignment="1">
      <alignment wrapText="1"/>
    </xf>
    <xf numFmtId="4" fontId="5" fillId="0" borderId="22" xfId="0" applyNumberFormat="1" applyFont="1" applyBorder="1" applyAlignment="1" applyProtection="1">
      <alignment horizontal="right"/>
      <protection locked="0"/>
    </xf>
    <xf numFmtId="180" fontId="6" fillId="0" borderId="0" xfId="0" applyNumberFormat="1" applyFont="1" applyAlignment="1">
      <alignment vertical="center"/>
    </xf>
    <xf numFmtId="181" fontId="6" fillId="0" borderId="0" xfId="0" applyNumberFormat="1" applyFont="1" applyAlignment="1">
      <alignment vertical="center"/>
    </xf>
    <xf numFmtId="185" fontId="6" fillId="0" borderId="0" xfId="8" applyNumberFormat="1" applyFont="1" applyAlignment="1">
      <alignment vertical="center"/>
    </xf>
    <xf numFmtId="186" fontId="6" fillId="0" borderId="0" xfId="0" applyNumberFormat="1" applyFont="1" applyAlignment="1">
      <alignment vertical="center"/>
    </xf>
    <xf numFmtId="184" fontId="6" fillId="0" borderId="0" xfId="0" applyNumberFormat="1" applyFont="1" applyAlignment="1">
      <alignment vertical="center"/>
    </xf>
    <xf numFmtId="9" fontId="6" fillId="0" borderId="0" xfId="5" applyFont="1" applyAlignment="1">
      <alignment vertical="center"/>
    </xf>
    <xf numFmtId="183" fontId="6" fillId="0" borderId="0" xfId="8" applyNumberFormat="1" applyFont="1" applyAlignment="1">
      <alignment vertical="center"/>
    </xf>
    <xf numFmtId="179" fontId="6" fillId="0" borderId="0" xfId="0" applyNumberFormat="1" applyFont="1" applyAlignment="1">
      <alignment vertical="center"/>
    </xf>
    <xf numFmtId="187" fontId="6" fillId="0" borderId="0" xfId="0" applyNumberFormat="1" applyFont="1" applyAlignment="1">
      <alignment vertical="center"/>
    </xf>
    <xf numFmtId="177" fontId="6" fillId="0" borderId="0" xfId="0" applyNumberFormat="1" applyFont="1" applyAlignment="1">
      <alignment vertical="center"/>
    </xf>
    <xf numFmtId="188" fontId="6" fillId="0" borderId="0" xfId="0" applyNumberFormat="1" applyFont="1" applyAlignment="1">
      <alignment vertical="center"/>
    </xf>
    <xf numFmtId="10" fontId="6" fillId="0" borderId="0" xfId="0" applyNumberFormat="1" applyFont="1" applyAlignment="1">
      <alignment vertical="center"/>
    </xf>
    <xf numFmtId="9" fontId="6" fillId="0" borderId="0" xfId="8" applyNumberFormat="1" applyFont="1" applyAlignment="1">
      <alignment vertical="center"/>
    </xf>
    <xf numFmtId="189" fontId="6" fillId="0" borderId="0" xfId="0" applyNumberFormat="1" applyFont="1" applyAlignment="1">
      <alignment vertical="center"/>
    </xf>
    <xf numFmtId="191" fontId="6" fillId="0" borderId="0" xfId="8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4" borderId="28" xfId="0" applyFont="1" applyFill="1" applyBorder="1" applyAlignment="1">
      <alignment horizontal="center"/>
    </xf>
    <xf numFmtId="0" fontId="5" fillId="4" borderId="23" xfId="0" applyFont="1" applyFill="1" applyBorder="1" applyAlignment="1">
      <alignment wrapText="1"/>
    </xf>
    <xf numFmtId="0" fontId="5" fillId="0" borderId="29" xfId="0" applyFont="1" applyBorder="1" applyAlignment="1">
      <alignment horizontal="center"/>
    </xf>
    <xf numFmtId="0" fontId="5" fillId="0" borderId="25" xfId="0" applyFont="1" applyBorder="1" applyAlignment="1">
      <alignment wrapText="1"/>
    </xf>
    <xf numFmtId="0" fontId="4" fillId="4" borderId="27" xfId="0" applyFont="1" applyFill="1" applyBorder="1" applyAlignment="1">
      <alignment horizontal="center"/>
    </xf>
    <xf numFmtId="0" fontId="4" fillId="0" borderId="23" xfId="0" applyFont="1" applyBorder="1" applyAlignment="1">
      <alignment wrapText="1"/>
    </xf>
    <xf numFmtId="4" fontId="4" fillId="0" borderId="22" xfId="0" applyNumberFormat="1" applyFont="1" applyBorder="1" applyAlignment="1" applyProtection="1">
      <alignment horizontal="right"/>
      <protection locked="0"/>
    </xf>
    <xf numFmtId="0" fontId="4" fillId="4" borderId="28" xfId="0" applyFont="1" applyFill="1" applyBorder="1" applyAlignment="1">
      <alignment horizontal="center"/>
    </xf>
    <xf numFmtId="0" fontId="5" fillId="7" borderId="4" xfId="0" applyFont="1" applyFill="1" applyBorder="1" applyAlignment="1" applyProtection="1">
      <alignment vertical="center"/>
      <protection locked="0"/>
    </xf>
    <xf numFmtId="0" fontId="4" fillId="7" borderId="6" xfId="0" applyFont="1" applyFill="1" applyBorder="1" applyAlignment="1" applyProtection="1">
      <alignment vertical="center"/>
      <protection locked="0"/>
    </xf>
    <xf numFmtId="0" fontId="0" fillId="8" borderId="0" xfId="0" applyFill="1" applyAlignment="1">
      <alignment vertical="center"/>
    </xf>
    <xf numFmtId="0" fontId="6" fillId="8" borderId="0" xfId="0" applyFont="1" applyFill="1" applyAlignment="1">
      <alignment vertical="center"/>
    </xf>
    <xf numFmtId="0" fontId="6" fillId="8" borderId="0" xfId="0" applyFont="1" applyFill="1" applyAlignment="1">
      <alignment horizontal="center" vertical="center"/>
    </xf>
    <xf numFmtId="0" fontId="2" fillId="8" borderId="0" xfId="0" applyFont="1" applyFill="1" applyAlignment="1">
      <alignment vertical="center"/>
    </xf>
    <xf numFmtId="0" fontId="5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2" fillId="9" borderId="13" xfId="3" applyFont="1" applyFill="1" applyBorder="1" applyAlignment="1">
      <alignment horizontal="left" vertical="center"/>
    </xf>
    <xf numFmtId="0" fontId="2" fillId="9" borderId="14" xfId="3" applyFont="1" applyFill="1" applyBorder="1" applyAlignment="1">
      <alignment horizontal="center"/>
    </xf>
    <xf numFmtId="0" fontId="3" fillId="9" borderId="14" xfId="3" applyFill="1" applyBorder="1" applyAlignment="1">
      <alignment horizontal="left" vertical="center" wrapText="1"/>
    </xf>
    <xf numFmtId="0" fontId="3" fillId="9" borderId="14" xfId="3" applyFill="1" applyBorder="1" applyAlignment="1">
      <alignment horizontal="center" vertical="center" wrapText="1"/>
    </xf>
    <xf numFmtId="173" fontId="3" fillId="9" borderId="14" xfId="10" applyFill="1" applyBorder="1" applyAlignment="1">
      <alignment horizontal="center" vertical="center" wrapText="1"/>
    </xf>
    <xf numFmtId="173" fontId="3" fillId="9" borderId="14" xfId="10" applyFill="1" applyBorder="1" applyAlignment="1">
      <alignment vertical="center" wrapText="1"/>
    </xf>
    <xf numFmtId="173" fontId="3" fillId="9" borderId="15" xfId="10" applyFill="1" applyBorder="1" applyAlignment="1">
      <alignment vertical="center" wrapText="1"/>
    </xf>
    <xf numFmtId="0" fontId="2" fillId="8" borderId="17" xfId="3" applyFont="1" applyFill="1" applyBorder="1" applyAlignment="1">
      <alignment horizontal="center" vertical="center" wrapText="1"/>
    </xf>
    <xf numFmtId="0" fontId="3" fillId="8" borderId="13" xfId="3" applyFill="1" applyBorder="1" applyAlignment="1">
      <alignment horizontal="left" vertical="center"/>
    </xf>
    <xf numFmtId="17" fontId="3" fillId="4" borderId="15" xfId="3" applyNumberFormat="1" applyFill="1" applyBorder="1" applyAlignment="1">
      <alignment horizontal="left" vertical="center"/>
    </xf>
    <xf numFmtId="0" fontId="3" fillId="0" borderId="1" xfId="3" applyBorder="1" applyAlignment="1">
      <alignment horizontal="left" vertical="center"/>
    </xf>
    <xf numFmtId="0" fontId="3" fillId="0" borderId="2" xfId="3" applyBorder="1" applyAlignment="1">
      <alignment horizontal="center" vertical="center"/>
    </xf>
    <xf numFmtId="0" fontId="3" fillId="4" borderId="30" xfId="3" applyFill="1" applyBorder="1" applyAlignment="1">
      <alignment horizontal="center" vertical="center"/>
    </xf>
    <xf numFmtId="196" fontId="3" fillId="4" borderId="30" xfId="3" applyNumberFormat="1" applyFill="1" applyBorder="1" applyAlignment="1">
      <alignment horizontal="center" vertical="center"/>
    </xf>
    <xf numFmtId="0" fontId="3" fillId="0" borderId="30" xfId="3" applyBorder="1" applyAlignment="1">
      <alignment horizontal="center" vertical="center"/>
    </xf>
    <xf numFmtId="0" fontId="3" fillId="0" borderId="17" xfId="3" applyBorder="1" applyAlignment="1">
      <alignment horizontal="center" vertical="center"/>
    </xf>
    <xf numFmtId="196" fontId="3" fillId="0" borderId="17" xfId="3" applyNumberFormat="1" applyBorder="1" applyAlignment="1">
      <alignment horizontal="right" vertical="center"/>
    </xf>
    <xf numFmtId="4" fontId="3" fillId="0" borderId="17" xfId="3" applyNumberFormat="1" applyBorder="1" applyAlignment="1">
      <alignment vertical="center"/>
    </xf>
    <xf numFmtId="4" fontId="3" fillId="4" borderId="30" xfId="3" applyNumberFormat="1" applyFill="1" applyBorder="1" applyAlignment="1">
      <alignment vertical="center"/>
    </xf>
    <xf numFmtId="0" fontId="3" fillId="8" borderId="12" xfId="3" applyFill="1" applyBorder="1" applyAlignment="1">
      <alignment horizontal="center" vertical="center"/>
    </xf>
    <xf numFmtId="177" fontId="3" fillId="8" borderId="17" xfId="3" applyNumberFormat="1" applyFill="1" applyBorder="1" applyAlignment="1">
      <alignment horizontal="right" vertical="center"/>
    </xf>
    <xf numFmtId="1" fontId="3" fillId="8" borderId="17" xfId="3" applyNumberFormat="1" applyFill="1" applyBorder="1" applyAlignment="1">
      <alignment horizontal="center" vertical="center"/>
    </xf>
    <xf numFmtId="196" fontId="3" fillId="8" borderId="17" xfId="3" applyNumberFormat="1" applyFill="1" applyBorder="1" applyAlignment="1">
      <alignment horizontal="right" vertical="center"/>
    </xf>
    <xf numFmtId="0" fontId="3" fillId="8" borderId="17" xfId="3" applyFill="1" applyBorder="1" applyAlignment="1">
      <alignment horizontal="center" vertical="center"/>
    </xf>
    <xf numFmtId="197" fontId="3" fillId="8" borderId="17" xfId="9" applyFill="1" applyBorder="1" applyAlignment="1">
      <alignment horizontal="center" vertical="center"/>
    </xf>
    <xf numFmtId="0" fontId="0" fillId="8" borderId="0" xfId="0" applyFill="1"/>
    <xf numFmtId="0" fontId="3" fillId="4" borderId="17" xfId="3" applyFill="1" applyBorder="1" applyAlignment="1">
      <alignment horizontal="right" vertical="center"/>
    </xf>
    <xf numFmtId="4" fontId="3" fillId="4" borderId="17" xfId="3" applyNumberFormat="1" applyFill="1" applyBorder="1" applyAlignment="1">
      <alignment horizontal="center" vertical="center"/>
    </xf>
    <xf numFmtId="0" fontId="2" fillId="4" borderId="11" xfId="3" applyFont="1" applyFill="1" applyBorder="1" applyAlignment="1">
      <alignment horizontal="center" vertical="center"/>
    </xf>
    <xf numFmtId="0" fontId="2" fillId="4" borderId="12" xfId="3" applyFont="1" applyFill="1" applyBorder="1" applyAlignment="1">
      <alignment horizontal="center" vertical="center"/>
    </xf>
    <xf numFmtId="4" fontId="3" fillId="4" borderId="17" xfId="3" applyNumberFormat="1" applyFill="1" applyBorder="1" applyAlignment="1">
      <alignment vertical="center"/>
    </xf>
    <xf numFmtId="4" fontId="3" fillId="8" borderId="17" xfId="3" applyNumberFormat="1" applyFill="1" applyBorder="1" applyAlignment="1">
      <alignment vertical="center"/>
    </xf>
    <xf numFmtId="4" fontId="3" fillId="0" borderId="30" xfId="3" applyNumberFormat="1" applyBorder="1" applyAlignment="1">
      <alignment vertical="center"/>
    </xf>
    <xf numFmtId="195" fontId="3" fillId="0" borderId="17" xfId="3" applyNumberFormat="1" applyBorder="1" applyAlignment="1">
      <alignment horizontal="right" vertical="center"/>
    </xf>
    <xf numFmtId="4" fontId="2" fillId="10" borderId="17" xfId="3" applyNumberFormat="1" applyFont="1" applyFill="1" applyBorder="1" applyAlignment="1">
      <alignment horizontal="center" vertical="center"/>
    </xf>
    <xf numFmtId="2" fontId="3" fillId="8" borderId="17" xfId="3" applyNumberFormat="1" applyFill="1" applyBorder="1" applyAlignment="1">
      <alignment horizontal="center" vertical="center"/>
    </xf>
    <xf numFmtId="4" fontId="2" fillId="10" borderId="31" xfId="3" applyNumberFormat="1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46" fillId="0" borderId="32" xfId="0" applyFont="1" applyBorder="1" applyAlignment="1">
      <alignment vertical="center"/>
    </xf>
    <xf numFmtId="198" fontId="46" fillId="0" borderId="33" xfId="0" applyNumberFormat="1" applyFont="1" applyBorder="1" applyAlignment="1">
      <alignment horizontal="center" vertical="center"/>
    </xf>
    <xf numFmtId="0" fontId="46" fillId="0" borderId="34" xfId="0" applyFont="1" applyBorder="1" applyAlignment="1">
      <alignment vertical="center"/>
    </xf>
    <xf numFmtId="198" fontId="46" fillId="0" borderId="35" xfId="0" applyNumberFormat="1" applyFont="1" applyBorder="1" applyAlignment="1">
      <alignment horizontal="center" vertical="center"/>
    </xf>
    <xf numFmtId="198" fontId="46" fillId="8" borderId="35" xfId="0" applyNumberFormat="1" applyFont="1" applyFill="1" applyBorder="1" applyAlignment="1">
      <alignment horizontal="center" vertical="center"/>
    </xf>
    <xf numFmtId="0" fontId="46" fillId="0" borderId="36" xfId="0" applyFont="1" applyBorder="1" applyAlignment="1">
      <alignment vertical="center"/>
    </xf>
    <xf numFmtId="0" fontId="46" fillId="0" borderId="37" xfId="0" applyFont="1" applyBorder="1" applyAlignment="1">
      <alignment vertical="center"/>
    </xf>
    <xf numFmtId="198" fontId="46" fillId="0" borderId="3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6" fillId="0" borderId="10" xfId="0" applyFont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0" fillId="0" borderId="0" xfId="0" applyFont="1" applyAlignment="1">
      <alignment horizontal="centerContinuous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2" fillId="0" borderId="13" xfId="0" applyFont="1" applyBorder="1"/>
    <xf numFmtId="0" fontId="12" fillId="0" borderId="15" xfId="0" applyFont="1" applyBorder="1"/>
    <xf numFmtId="0" fontId="12" fillId="0" borderId="17" xfId="0" applyFont="1" applyBorder="1" applyAlignment="1">
      <alignment horizontal="center"/>
    </xf>
    <xf numFmtId="193" fontId="0" fillId="0" borderId="17" xfId="0" applyNumberFormat="1" applyBorder="1" applyAlignment="1">
      <alignment horizontal="left"/>
    </xf>
    <xf numFmtId="0" fontId="3" fillId="0" borderId="17" xfId="0" applyFont="1" applyBorder="1"/>
    <xf numFmtId="193" fontId="2" fillId="0" borderId="17" xfId="0" applyNumberFormat="1" applyFont="1" applyBorder="1" applyAlignment="1">
      <alignment horizontal="left"/>
    </xf>
    <xf numFmtId="200" fontId="0" fillId="0" borderId="0" xfId="0" applyNumberFormat="1"/>
    <xf numFmtId="0" fontId="6" fillId="0" borderId="39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10" fillId="0" borderId="40" xfId="0" applyFont="1" applyBorder="1" applyAlignment="1">
      <alignment horizontal="left" vertical="center"/>
    </xf>
    <xf numFmtId="10" fontId="10" fillId="0" borderId="39" xfId="0" applyNumberFormat="1" applyFont="1" applyBorder="1" applyAlignment="1">
      <alignment vertical="center"/>
    </xf>
    <xf numFmtId="0" fontId="10" fillId="0" borderId="40" xfId="0" applyFont="1" applyBorder="1" applyAlignment="1">
      <alignment horizontal="center" vertical="center"/>
    </xf>
    <xf numFmtId="0" fontId="10" fillId="0" borderId="39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173" fontId="6" fillId="0" borderId="40" xfId="8" applyFont="1" applyBorder="1" applyAlignment="1">
      <alignment vertical="center"/>
    </xf>
    <xf numFmtId="193" fontId="0" fillId="0" borderId="0" xfId="0" applyNumberFormat="1"/>
    <xf numFmtId="0" fontId="4" fillId="0" borderId="1" xfId="0" applyFont="1" applyBorder="1" applyAlignment="1">
      <alignment horizontal="left" vertical="center"/>
    </xf>
    <xf numFmtId="0" fontId="47" fillId="11" borderId="41" xfId="0" applyFont="1" applyFill="1" applyBorder="1" applyAlignment="1">
      <alignment horizontal="center" vertical="center"/>
    </xf>
    <xf numFmtId="0" fontId="25" fillId="12" borderId="42" xfId="0" applyFont="1" applyFill="1" applyBorder="1"/>
    <xf numFmtId="0" fontId="48" fillId="13" borderId="17" xfId="0" applyFont="1" applyFill="1" applyBorder="1" applyAlignment="1">
      <alignment vertical="justify"/>
    </xf>
    <xf numFmtId="0" fontId="48" fillId="13" borderId="17" xfId="0" applyFont="1" applyFill="1" applyBorder="1" applyAlignment="1">
      <alignment vertical="justify" wrapText="1"/>
    </xf>
    <xf numFmtId="0" fontId="48" fillId="13" borderId="17" xfId="0" applyFont="1" applyFill="1" applyBorder="1"/>
    <xf numFmtId="0" fontId="26" fillId="0" borderId="15" xfId="0" applyFont="1" applyBorder="1" applyAlignment="1">
      <alignment horizontal="center"/>
    </xf>
    <xf numFmtId="0" fontId="26" fillId="0" borderId="17" xfId="0" applyFont="1" applyBorder="1" applyAlignment="1">
      <alignment horizontal="center"/>
    </xf>
    <xf numFmtId="0" fontId="26" fillId="8" borderId="8" xfId="0" applyFont="1" applyFill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 wrapText="1"/>
    </xf>
    <xf numFmtId="4" fontId="25" fillId="8" borderId="13" xfId="0" applyNumberFormat="1" applyFont="1" applyFill="1" applyBorder="1" applyAlignment="1">
      <alignment horizontal="center" wrapText="1"/>
    </xf>
    <xf numFmtId="4" fontId="25" fillId="8" borderId="13" xfId="0" applyNumberFormat="1" applyFont="1" applyFill="1" applyBorder="1" applyAlignment="1">
      <alignment horizontal="center"/>
    </xf>
    <xf numFmtId="4" fontId="26" fillId="14" borderId="17" xfId="0" applyNumberFormat="1" applyFont="1" applyFill="1" applyBorder="1" applyAlignment="1">
      <alignment horizontal="center"/>
    </xf>
    <xf numFmtId="0" fontId="26" fillId="0" borderId="17" xfId="0" applyFont="1" applyBorder="1" applyAlignment="1">
      <alignment horizontal="center" vertical="center" wrapText="1"/>
    </xf>
    <xf numFmtId="0" fontId="25" fillId="8" borderId="13" xfId="0" applyFont="1" applyFill="1" applyBorder="1" applyAlignment="1">
      <alignment horizontal="center"/>
    </xf>
    <xf numFmtId="0" fontId="26" fillId="0" borderId="17" xfId="0" applyFont="1" applyBorder="1" applyAlignment="1">
      <alignment horizontal="center" wrapText="1"/>
    </xf>
    <xf numFmtId="4" fontId="25" fillId="8" borderId="13" xfId="0" applyNumberFormat="1" applyFont="1" applyFill="1" applyBorder="1" applyAlignment="1">
      <alignment horizontal="center" vertical="center"/>
    </xf>
    <xf numFmtId="2" fontId="25" fillId="8" borderId="17" xfId="0" applyNumberFormat="1" applyFont="1" applyFill="1" applyBorder="1" applyAlignment="1">
      <alignment horizontal="center" vertical="center"/>
    </xf>
    <xf numFmtId="0" fontId="26" fillId="8" borderId="17" xfId="0" applyFont="1" applyFill="1" applyBorder="1" applyAlignment="1">
      <alignment horizontal="center" vertical="center"/>
    </xf>
    <xf numFmtId="0" fontId="25" fillId="0" borderId="0" xfId="0" applyFont="1" applyBorder="1"/>
    <xf numFmtId="0" fontId="25" fillId="0" borderId="16" xfId="0" applyFont="1" applyBorder="1"/>
    <xf numFmtId="0" fontId="26" fillId="0" borderId="22" xfId="0" applyFont="1" applyBorder="1" applyAlignment="1">
      <alignment horizontal="center"/>
    </xf>
    <xf numFmtId="0" fontId="25" fillId="0" borderId="21" xfId="0" applyFont="1" applyBorder="1"/>
    <xf numFmtId="0" fontId="26" fillId="0" borderId="35" xfId="0" applyFont="1" applyBorder="1" applyAlignment="1">
      <alignment horizontal="center"/>
    </xf>
    <xf numFmtId="0" fontId="26" fillId="8" borderId="35" xfId="0" applyFont="1" applyFill="1" applyBorder="1" applyAlignment="1">
      <alignment horizontal="center"/>
    </xf>
    <xf numFmtId="4" fontId="25" fillId="8" borderId="35" xfId="0" applyNumberFormat="1" applyFont="1" applyFill="1" applyBorder="1" applyAlignment="1">
      <alignment horizontal="center"/>
    </xf>
    <xf numFmtId="0" fontId="25" fillId="0" borderId="0" xfId="0" applyFont="1"/>
    <xf numFmtId="0" fontId="25" fillId="0" borderId="17" xfId="0" applyFont="1" applyBorder="1" applyAlignment="1">
      <alignment horizontal="center"/>
    </xf>
    <xf numFmtId="0" fontId="25" fillId="8" borderId="14" xfId="0" applyFont="1" applyFill="1" applyBorder="1" applyAlignment="1">
      <alignment horizontal="left" vertical="center"/>
    </xf>
    <xf numFmtId="4" fontId="25" fillId="8" borderId="17" xfId="0" applyNumberFormat="1" applyFont="1" applyFill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26" fillId="0" borderId="13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/>
    </xf>
    <xf numFmtId="2" fontId="25" fillId="8" borderId="8" xfId="0" applyNumberFormat="1" applyFont="1" applyFill="1" applyBorder="1" applyAlignment="1">
      <alignment horizontal="center" vertical="center" wrapText="1"/>
    </xf>
    <xf numFmtId="2" fontId="25" fillId="0" borderId="13" xfId="0" applyNumberFormat="1" applyFont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/>
    </xf>
    <xf numFmtId="0" fontId="25" fillId="8" borderId="22" xfId="0" applyFont="1" applyFill="1" applyBorder="1" applyAlignment="1">
      <alignment horizontal="left" vertical="center"/>
    </xf>
    <xf numFmtId="0" fontId="25" fillId="8" borderId="15" xfId="0" applyFont="1" applyFill="1" applyBorder="1" applyAlignment="1">
      <alignment horizontal="left" vertical="center"/>
    </xf>
    <xf numFmtId="0" fontId="25" fillId="8" borderId="31" xfId="0" applyFont="1" applyFill="1" applyBorder="1" applyAlignment="1">
      <alignment horizontal="center"/>
    </xf>
    <xf numFmtId="4" fontId="25" fillId="8" borderId="14" xfId="0" applyNumberFormat="1" applyFont="1" applyFill="1" applyBorder="1" applyAlignment="1">
      <alignment horizontal="center"/>
    </xf>
    <xf numFmtId="4" fontId="25" fillId="8" borderId="17" xfId="0" applyNumberFormat="1" applyFont="1" applyFill="1" applyBorder="1" applyAlignment="1">
      <alignment horizontal="center" wrapText="1"/>
    </xf>
    <xf numFmtId="0" fontId="26" fillId="0" borderId="14" xfId="0" applyFont="1" applyBorder="1" applyAlignment="1">
      <alignment horizontal="center"/>
    </xf>
    <xf numFmtId="0" fontId="25" fillId="0" borderId="17" xfId="0" applyFont="1" applyBorder="1" applyAlignment="1">
      <alignment vertical="center"/>
    </xf>
    <xf numFmtId="0" fontId="12" fillId="0" borderId="0" xfId="0" applyFont="1"/>
    <xf numFmtId="0" fontId="33" fillId="0" borderId="21" xfId="0" applyFont="1" applyBorder="1"/>
    <xf numFmtId="0" fontId="33" fillId="0" borderId="0" xfId="0" applyFont="1"/>
    <xf numFmtId="0" fontId="26" fillId="0" borderId="9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2" fontId="25" fillId="8" borderId="43" xfId="0" applyNumberFormat="1" applyFont="1" applyFill="1" applyBorder="1" applyAlignment="1">
      <alignment horizontal="left"/>
    </xf>
    <xf numFmtId="2" fontId="25" fillId="8" borderId="12" xfId="0" applyNumberFormat="1" applyFont="1" applyFill="1" applyBorder="1" applyAlignment="1">
      <alignment horizontal="left"/>
    </xf>
    <xf numFmtId="2" fontId="25" fillId="8" borderId="15" xfId="0" applyNumberFormat="1" applyFont="1" applyFill="1" applyBorder="1" applyAlignment="1">
      <alignment horizontal="center"/>
    </xf>
    <xf numFmtId="4" fontId="25" fillId="0" borderId="17" xfId="0" applyNumberFormat="1" applyFont="1" applyBorder="1" applyAlignment="1">
      <alignment horizontal="center" vertical="center"/>
    </xf>
    <xf numFmtId="4" fontId="25" fillId="0" borderId="35" xfId="0" applyNumberFormat="1" applyFont="1" applyBorder="1" applyAlignment="1">
      <alignment horizontal="center" vertical="center"/>
    </xf>
    <xf numFmtId="4" fontId="26" fillId="0" borderId="17" xfId="0" applyNumberFormat="1" applyFont="1" applyBorder="1" applyAlignment="1">
      <alignment horizontal="center"/>
    </xf>
    <xf numFmtId="4" fontId="26" fillId="0" borderId="17" xfId="0" applyNumberFormat="1" applyFont="1" applyBorder="1" applyAlignment="1">
      <alignment horizontal="right"/>
    </xf>
    <xf numFmtId="4" fontId="26" fillId="0" borderId="35" xfId="0" applyNumberFormat="1" applyFont="1" applyBorder="1" applyAlignment="1">
      <alignment horizontal="center"/>
    </xf>
    <xf numFmtId="195" fontId="48" fillId="8" borderId="17" xfId="0" applyNumberFormat="1" applyFont="1" applyFill="1" applyBorder="1" applyAlignment="1">
      <alignment horizontal="center" vertical="center"/>
    </xf>
    <xf numFmtId="4" fontId="49" fillId="0" borderId="17" xfId="0" applyNumberFormat="1" applyFont="1" applyBorder="1" applyAlignment="1">
      <alignment horizontal="center" vertical="center"/>
    </xf>
    <xf numFmtId="4" fontId="47" fillId="8" borderId="17" xfId="0" applyNumberFormat="1" applyFont="1" applyFill="1" applyBorder="1" applyAlignment="1">
      <alignment horizontal="center"/>
    </xf>
    <xf numFmtId="195" fontId="25" fillId="8" borderId="17" xfId="0" applyNumberFormat="1" applyFont="1" applyFill="1" applyBorder="1" applyAlignment="1">
      <alignment horizontal="center" vertical="center"/>
    </xf>
    <xf numFmtId="4" fontId="26" fillId="8" borderId="35" xfId="0" applyNumberFormat="1" applyFont="1" applyFill="1" applyBorder="1" applyAlignment="1">
      <alignment horizontal="center" vertical="center"/>
    </xf>
    <xf numFmtId="4" fontId="26" fillId="8" borderId="17" xfId="0" applyNumberFormat="1" applyFont="1" applyFill="1" applyBorder="1" applyAlignment="1">
      <alignment horizontal="center"/>
    </xf>
    <xf numFmtId="4" fontId="48" fillId="0" borderId="17" xfId="0" applyNumberFormat="1" applyFont="1" applyBorder="1" applyAlignment="1">
      <alignment horizontal="center" vertical="center"/>
    </xf>
    <xf numFmtId="178" fontId="49" fillId="0" borderId="17" xfId="0" applyNumberFormat="1" applyFont="1" applyBorder="1" applyAlignment="1">
      <alignment horizontal="center" vertical="center"/>
    </xf>
    <xf numFmtId="4" fontId="26" fillId="8" borderId="13" xfId="0" applyNumberFormat="1" applyFont="1" applyFill="1" applyBorder="1" applyAlignment="1">
      <alignment horizontal="center"/>
    </xf>
    <xf numFmtId="4" fontId="25" fillId="0" borderId="13" xfId="0" applyNumberFormat="1" applyFont="1" applyBorder="1" applyAlignment="1">
      <alignment horizontal="center" vertical="center"/>
    </xf>
    <xf numFmtId="0" fontId="26" fillId="0" borderId="10" xfId="0" applyFont="1" applyBorder="1" applyAlignment="1">
      <alignment horizontal="center"/>
    </xf>
    <xf numFmtId="4" fontId="26" fillId="0" borderId="8" xfId="0" applyNumberFormat="1" applyFont="1" applyBorder="1" applyAlignment="1">
      <alignment horizontal="center"/>
    </xf>
    <xf numFmtId="4" fontId="26" fillId="0" borderId="10" xfId="0" applyNumberFormat="1" applyFont="1" applyBorder="1" applyAlignment="1">
      <alignment horizontal="center"/>
    </xf>
    <xf numFmtId="4" fontId="26" fillId="0" borderId="10" xfId="0" applyNumberFormat="1" applyFont="1" applyBorder="1" applyAlignment="1">
      <alignment horizontal="right"/>
    </xf>
    <xf numFmtId="4" fontId="26" fillId="8" borderId="10" xfId="0" applyNumberFormat="1" applyFont="1" applyFill="1" applyBorder="1" applyAlignment="1">
      <alignment horizontal="center"/>
    </xf>
    <xf numFmtId="4" fontId="26" fillId="0" borderId="44" xfId="0" applyNumberFormat="1" applyFont="1" applyFill="1" applyBorder="1" applyAlignment="1">
      <alignment horizontal="center"/>
    </xf>
    <xf numFmtId="0" fontId="33" fillId="0" borderId="0" xfId="0" applyFont="1" applyBorder="1"/>
    <xf numFmtId="0" fontId="33" fillId="0" borderId="16" xfId="0" applyFont="1" applyBorder="1"/>
    <xf numFmtId="0" fontId="33" fillId="0" borderId="45" xfId="0" applyFont="1" applyBorder="1"/>
    <xf numFmtId="0" fontId="33" fillId="0" borderId="24" xfId="0" applyFont="1" applyBorder="1"/>
    <xf numFmtId="0" fontId="33" fillId="0" borderId="46" xfId="0" applyFont="1" applyBorder="1"/>
    <xf numFmtId="0" fontId="25" fillId="0" borderId="20" xfId="0" applyFont="1" applyBorder="1"/>
    <xf numFmtId="0" fontId="25" fillId="0" borderId="19" xfId="0" applyFont="1" applyBorder="1"/>
    <xf numFmtId="0" fontId="26" fillId="8" borderId="34" xfId="0" applyFont="1" applyFill="1" applyBorder="1" applyAlignment="1">
      <alignment vertical="center"/>
    </xf>
    <xf numFmtId="49" fontId="26" fillId="8" borderId="34" xfId="0" applyNumberFormat="1" applyFont="1" applyFill="1" applyBorder="1" applyAlignment="1">
      <alignment vertical="center"/>
    </xf>
    <xf numFmtId="0" fontId="25" fillId="0" borderId="16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center"/>
    </xf>
    <xf numFmtId="4" fontId="25" fillId="0" borderId="0" xfId="0" applyNumberFormat="1" applyFont="1" applyBorder="1" applyAlignment="1">
      <alignment horizontal="center"/>
    </xf>
    <xf numFmtId="2" fontId="25" fillId="0" borderId="0" xfId="0" applyNumberFormat="1" applyFont="1" applyBorder="1" applyAlignment="1">
      <alignment horizontal="center"/>
    </xf>
    <xf numFmtId="2" fontId="26" fillId="0" borderId="0" xfId="0" applyNumberFormat="1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/>
    </xf>
    <xf numFmtId="0" fontId="29" fillId="0" borderId="0" xfId="0" applyFont="1" applyBorder="1"/>
    <xf numFmtId="0" fontId="25" fillId="0" borderId="16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9" fillId="0" borderId="16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9" fillId="0" borderId="21" xfId="0" applyFont="1" applyBorder="1"/>
    <xf numFmtId="0" fontId="29" fillId="0" borderId="16" xfId="0" applyFont="1" applyBorder="1"/>
    <xf numFmtId="4" fontId="29" fillId="0" borderId="21" xfId="0" applyNumberFormat="1" applyFont="1" applyBorder="1"/>
    <xf numFmtId="0" fontId="29" fillId="0" borderId="0" xfId="0" applyFont="1" applyBorder="1" applyAlignment="1">
      <alignment horizontal="center"/>
    </xf>
    <xf numFmtId="0" fontId="25" fillId="0" borderId="45" xfId="0" applyFont="1" applyBorder="1"/>
    <xf numFmtId="0" fontId="25" fillId="0" borderId="24" xfId="0" applyFont="1" applyBorder="1"/>
    <xf numFmtId="0" fontId="25" fillId="0" borderId="46" xfId="0" applyFont="1" applyBorder="1"/>
    <xf numFmtId="0" fontId="47" fillId="15" borderId="34" xfId="0" applyFont="1" applyFill="1" applyBorder="1" applyAlignment="1">
      <alignment horizontal="center" vertical="justify" wrapText="1"/>
    </xf>
    <xf numFmtId="0" fontId="48" fillId="15" borderId="15" xfId="0" applyFont="1" applyFill="1" applyBorder="1" applyAlignment="1">
      <alignment vertical="justify"/>
    </xf>
    <xf numFmtId="0" fontId="48" fillId="15" borderId="17" xfId="0" applyFont="1" applyFill="1" applyBorder="1" applyAlignment="1">
      <alignment vertical="justify"/>
    </xf>
    <xf numFmtId="0" fontId="48" fillId="15" borderId="17" xfId="0" applyFont="1" applyFill="1" applyBorder="1" applyAlignment="1">
      <alignment vertical="justify" wrapText="1"/>
    </xf>
    <xf numFmtId="0" fontId="48" fillId="15" borderId="17" xfId="0" applyFont="1" applyFill="1" applyBorder="1"/>
    <xf numFmtId="0" fontId="25" fillId="15" borderId="0" xfId="0" applyFont="1" applyFill="1" applyBorder="1"/>
    <xf numFmtId="0" fontId="26" fillId="16" borderId="34" xfId="0" applyFont="1" applyFill="1" applyBorder="1"/>
    <xf numFmtId="0" fontId="26" fillId="16" borderId="13" xfId="0" applyFont="1" applyFill="1" applyBorder="1"/>
    <xf numFmtId="0" fontId="25" fillId="16" borderId="0" xfId="0" applyFont="1" applyFill="1"/>
    <xf numFmtId="0" fontId="25" fillId="16" borderId="13" xfId="0" applyFont="1" applyFill="1" applyBorder="1" applyAlignment="1">
      <alignment horizontal="left"/>
    </xf>
    <xf numFmtId="0" fontId="26" fillId="16" borderId="17" xfId="0" applyFont="1" applyFill="1" applyBorder="1"/>
    <xf numFmtId="0" fontId="26" fillId="16" borderId="8" xfId="0" applyFont="1" applyFill="1" applyBorder="1"/>
    <xf numFmtId="0" fontId="48" fillId="16" borderId="13" xfId="0" applyFont="1" applyFill="1" applyBorder="1" applyAlignment="1">
      <alignment horizontal="left" vertical="center" wrapText="1"/>
    </xf>
    <xf numFmtId="0" fontId="25" fillId="16" borderId="11" xfId="0" applyFont="1" applyFill="1" applyBorder="1" applyAlignment="1">
      <alignment horizontal="center"/>
    </xf>
    <xf numFmtId="0" fontId="25" fillId="16" borderId="21" xfId="0" applyFont="1" applyFill="1" applyBorder="1"/>
    <xf numFmtId="4" fontId="25" fillId="16" borderId="21" xfId="0" applyNumberFormat="1" applyFont="1" applyFill="1" applyBorder="1"/>
    <xf numFmtId="0" fontId="25" fillId="16" borderId="0" xfId="0" applyFont="1" applyFill="1" applyBorder="1"/>
    <xf numFmtId="0" fontId="33" fillId="0" borderId="16" xfId="0" applyFont="1" applyBorder="1" applyAlignment="1" applyProtection="1">
      <alignment wrapText="1"/>
      <protection locked="0"/>
    </xf>
    <xf numFmtId="0" fontId="33" fillId="0" borderId="0" xfId="0" applyFont="1" applyBorder="1" applyAlignment="1" applyProtection="1">
      <alignment wrapText="1"/>
      <protection locked="0"/>
    </xf>
    <xf numFmtId="0" fontId="50" fillId="17" borderId="75" xfId="0" applyFont="1" applyFill="1" applyBorder="1" applyAlignment="1">
      <alignment horizontal="center" vertical="center" wrapText="1"/>
    </xf>
    <xf numFmtId="0" fontId="50" fillId="0" borderId="76" xfId="0" applyFont="1" applyBorder="1" applyAlignment="1">
      <alignment horizontal="left" vertical="center" wrapText="1"/>
    </xf>
    <xf numFmtId="4" fontId="50" fillId="0" borderId="77" xfId="0" applyNumberFormat="1" applyFont="1" applyBorder="1" applyAlignment="1">
      <alignment horizontal="right" vertical="center" wrapText="1"/>
    </xf>
    <xf numFmtId="4" fontId="50" fillId="0" borderId="75" xfId="0" applyNumberFormat="1" applyFont="1" applyBorder="1" applyAlignment="1">
      <alignment horizontal="right" vertical="center" wrapText="1"/>
    </xf>
    <xf numFmtId="0" fontId="51" fillId="0" borderId="76" xfId="0" applyFont="1" applyBorder="1" applyAlignment="1">
      <alignment horizontal="left" vertical="center" wrapText="1"/>
    </xf>
    <xf numFmtId="0" fontId="51" fillId="0" borderId="77" xfId="0" applyFont="1" applyBorder="1" applyAlignment="1">
      <alignment horizontal="center" vertical="center" wrapText="1"/>
    </xf>
    <xf numFmtId="0" fontId="51" fillId="0" borderId="77" xfId="0" applyFont="1" applyBorder="1" applyAlignment="1">
      <alignment horizontal="left" vertical="center" wrapText="1"/>
    </xf>
    <xf numFmtId="4" fontId="51" fillId="0" borderId="77" xfId="0" applyNumberFormat="1" applyFont="1" applyBorder="1" applyAlignment="1">
      <alignment horizontal="right" vertical="center" wrapText="1"/>
    </xf>
    <xf numFmtId="4" fontId="51" fillId="0" borderId="75" xfId="0" applyNumberFormat="1" applyFont="1" applyBorder="1" applyAlignment="1">
      <alignment horizontal="right" vertical="center" wrapText="1"/>
    </xf>
    <xf numFmtId="4" fontId="50" fillId="14" borderId="75" xfId="0" applyNumberFormat="1" applyFont="1" applyFill="1" applyBorder="1" applyAlignment="1">
      <alignment horizontal="right" vertical="center" wrapText="1"/>
    </xf>
    <xf numFmtId="211" fontId="51" fillId="0" borderId="78" xfId="2" applyNumberFormat="1" applyFont="1" applyFill="1" applyBorder="1" applyAlignment="1" applyProtection="1">
      <alignment horizontal="right" vertical="center" wrapText="1"/>
    </xf>
    <xf numFmtId="0" fontId="52" fillId="0" borderId="78" xfId="2" applyNumberFormat="1" applyFont="1" applyFill="1" applyBorder="1" applyAlignment="1" applyProtection="1">
      <alignment wrapText="1"/>
      <protection locked="0"/>
    </xf>
    <xf numFmtId="0" fontId="52" fillId="0" borderId="79" xfId="2" applyNumberFormat="1" applyFont="1" applyFill="1" applyBorder="1" applyAlignment="1" applyProtection="1">
      <alignment wrapText="1"/>
      <protection locked="0"/>
    </xf>
    <xf numFmtId="0" fontId="52" fillId="18" borderId="80" xfId="2" applyNumberFormat="1" applyFont="1" applyFill="1" applyBorder="1" applyAlignment="1" applyProtection="1">
      <alignment wrapText="1"/>
      <protection locked="0"/>
    </xf>
    <xf numFmtId="0" fontId="52" fillId="18" borderId="81" xfId="2" applyNumberFormat="1" applyFont="1" applyFill="1" applyBorder="1" applyAlignment="1" applyProtection="1">
      <alignment wrapText="1"/>
      <protection locked="0"/>
    </xf>
    <xf numFmtId="0" fontId="51" fillId="18" borderId="76" xfId="2" applyNumberFormat="1" applyFont="1" applyFill="1" applyBorder="1" applyAlignment="1" applyProtection="1">
      <alignment horizontal="center" vertical="center" wrapText="1"/>
    </xf>
    <xf numFmtId="0" fontId="52" fillId="18" borderId="82" xfId="2" applyNumberFormat="1" applyFont="1" applyFill="1" applyBorder="1" applyAlignment="1" applyProtection="1">
      <alignment wrapText="1"/>
      <protection locked="0"/>
    </xf>
    <xf numFmtId="0" fontId="52" fillId="18" borderId="83" xfId="2" applyNumberFormat="1" applyFont="1" applyFill="1" applyBorder="1" applyAlignment="1" applyProtection="1">
      <alignment wrapText="1"/>
      <protection locked="0"/>
    </xf>
    <xf numFmtId="0" fontId="52" fillId="0" borderId="16" xfId="2" applyFont="1" applyBorder="1"/>
    <xf numFmtId="0" fontId="52" fillId="0" borderId="0" xfId="2" applyFont="1" applyBorder="1"/>
    <xf numFmtId="0" fontId="52" fillId="0" borderId="21" xfId="2" applyFont="1" applyBorder="1"/>
    <xf numFmtId="0" fontId="52" fillId="0" borderId="84" xfId="2" applyNumberFormat="1" applyFont="1" applyFill="1" applyBorder="1" applyAlignment="1" applyProtection="1">
      <alignment wrapText="1"/>
      <protection locked="0"/>
    </xf>
    <xf numFmtId="216" fontId="51" fillId="0" borderId="78" xfId="2" applyNumberFormat="1" applyFont="1" applyFill="1" applyBorder="1" applyAlignment="1" applyProtection="1">
      <alignment horizontal="right" vertical="center" wrapText="1"/>
    </xf>
    <xf numFmtId="4" fontId="51" fillId="18" borderId="77" xfId="2" applyNumberFormat="1" applyFont="1" applyFill="1" applyBorder="1" applyAlignment="1" applyProtection="1">
      <alignment horizontal="right" vertical="center" wrapText="1"/>
    </xf>
    <xf numFmtId="4" fontId="25" fillId="0" borderId="13" xfId="0" applyNumberFormat="1" applyFont="1" applyFill="1" applyBorder="1" applyAlignment="1">
      <alignment horizontal="center"/>
    </xf>
    <xf numFmtId="4" fontId="25" fillId="8" borderId="15" xfId="0" applyNumberFormat="1" applyFont="1" applyFill="1" applyBorder="1" applyAlignment="1">
      <alignment horizontal="center"/>
    </xf>
    <xf numFmtId="0" fontId="33" fillId="0" borderId="0" xfId="0" applyFont="1" applyBorder="1" applyAlignment="1"/>
    <xf numFmtId="0" fontId="33" fillId="0" borderId="77" xfId="0" applyFont="1" applyBorder="1" applyAlignment="1">
      <alignment horizontal="left" vertical="center" wrapText="1"/>
    </xf>
    <xf numFmtId="3" fontId="33" fillId="4" borderId="22" xfId="4" applyFont="1" applyFill="1" applyBorder="1" applyAlignment="1">
      <alignment horizontal="center" vertical="center"/>
    </xf>
    <xf numFmtId="3" fontId="33" fillId="4" borderId="17" xfId="4" applyFont="1" applyFill="1" applyBorder="1" applyAlignment="1">
      <alignment horizontal="left" vertical="center"/>
    </xf>
    <xf numFmtId="219" fontId="33" fillId="4" borderId="35" xfId="4" applyNumberFormat="1" applyFont="1" applyFill="1" applyBorder="1" applyAlignment="1">
      <alignment horizontal="center" vertical="center"/>
    </xf>
    <xf numFmtId="3" fontId="33" fillId="4" borderId="22" xfId="4" applyFont="1" applyFill="1" applyBorder="1" applyAlignment="1">
      <alignment horizontal="center" vertical="center" wrapText="1"/>
    </xf>
    <xf numFmtId="3" fontId="33" fillId="4" borderId="17" xfId="4" applyFont="1" applyFill="1" applyBorder="1" applyAlignment="1">
      <alignment horizontal="center" vertical="center" wrapText="1"/>
    </xf>
    <xf numFmtId="3" fontId="33" fillId="4" borderId="35" xfId="4" applyFont="1" applyFill="1" applyBorder="1" applyAlignment="1">
      <alignment horizontal="center" vertical="center"/>
    </xf>
    <xf numFmtId="0" fontId="36" fillId="0" borderId="34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36" fillId="0" borderId="35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left" vertical="center" wrapText="1"/>
    </xf>
    <xf numFmtId="0" fontId="36" fillId="0" borderId="17" xfId="0" applyFont="1" applyBorder="1" applyAlignment="1">
      <alignment horizontal="right" vertical="center" wrapText="1"/>
    </xf>
    <xf numFmtId="43" fontId="33" fillId="8" borderId="35" xfId="4" applyNumberFormat="1" applyFont="1" applyFill="1" applyBorder="1" applyAlignment="1">
      <alignment vertical="center"/>
    </xf>
    <xf numFmtId="2" fontId="36" fillId="0" borderId="17" xfId="0" applyNumberFormat="1" applyFont="1" applyBorder="1" applyAlignment="1">
      <alignment horizontal="right" vertical="center" wrapText="1"/>
    </xf>
    <xf numFmtId="0" fontId="36" fillId="8" borderId="34" xfId="0" applyFont="1" applyFill="1" applyBorder="1" applyAlignment="1">
      <alignment horizontal="center" vertical="center" wrapText="1"/>
    </xf>
    <xf numFmtId="0" fontId="36" fillId="8" borderId="17" xfId="0" applyFont="1" applyFill="1" applyBorder="1" applyAlignment="1">
      <alignment horizontal="left" vertical="center" wrapText="1"/>
    </xf>
    <xf numFmtId="0" fontId="36" fillId="8" borderId="17" xfId="0" applyFont="1" applyFill="1" applyBorder="1" applyAlignment="1">
      <alignment horizontal="center" vertical="center" wrapText="1"/>
    </xf>
    <xf numFmtId="0" fontId="36" fillId="8" borderId="17" xfId="0" applyFont="1" applyFill="1" applyBorder="1" applyAlignment="1">
      <alignment horizontal="right" vertical="center" wrapText="1"/>
    </xf>
    <xf numFmtId="0" fontId="53" fillId="8" borderId="0" xfId="0" applyFont="1" applyFill="1"/>
    <xf numFmtId="195" fontId="33" fillId="4" borderId="17" xfId="4" applyNumberFormat="1" applyFont="1" applyFill="1" applyBorder="1" applyAlignment="1">
      <alignment horizontal="center" vertical="center"/>
    </xf>
    <xf numFmtId="43" fontId="33" fillId="4" borderId="47" xfId="4" applyNumberFormat="1" applyFont="1" applyFill="1" applyBorder="1" applyAlignment="1">
      <alignment vertical="center"/>
    </xf>
    <xf numFmtId="43" fontId="33" fillId="5" borderId="35" xfId="4" applyNumberFormat="1" applyFont="1" applyFill="1" applyBorder="1" applyAlignment="1">
      <alignment vertical="center"/>
    </xf>
    <xf numFmtId="3" fontId="51" fillId="0" borderId="77" xfId="0" applyNumberFormat="1" applyFont="1" applyBorder="1" applyAlignment="1">
      <alignment horizontal="left" vertical="center" wrapText="1"/>
    </xf>
    <xf numFmtId="0" fontId="32" fillId="8" borderId="17" xfId="0" applyFont="1" applyFill="1" applyBorder="1" applyAlignment="1">
      <alignment horizontal="left" vertical="center" wrapText="1"/>
    </xf>
    <xf numFmtId="0" fontId="50" fillId="17" borderId="77" xfId="0" applyFont="1" applyFill="1" applyBorder="1" applyAlignment="1">
      <alignment horizontal="center" vertical="center" wrapText="1"/>
    </xf>
    <xf numFmtId="0" fontId="51" fillId="18" borderId="77" xfId="2" applyNumberFormat="1" applyFont="1" applyFill="1" applyBorder="1" applyAlignment="1" applyProtection="1">
      <alignment horizontal="center" vertical="center" wrapText="1"/>
    </xf>
    <xf numFmtId="0" fontId="33" fillId="0" borderId="77" xfId="0" applyFont="1" applyBorder="1" applyAlignment="1">
      <alignment horizontal="center" vertical="center" wrapText="1"/>
    </xf>
    <xf numFmtId="0" fontId="33" fillId="0" borderId="0" xfId="0" applyFont="1" applyFill="1" applyBorder="1"/>
    <xf numFmtId="0" fontId="33" fillId="0" borderId="77" xfId="0" applyFont="1" applyFill="1" applyBorder="1" applyAlignment="1">
      <alignment horizontal="center" vertical="center" wrapText="1"/>
    </xf>
    <xf numFmtId="3" fontId="33" fillId="0" borderId="77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 applyAlignment="1" applyProtection="1">
      <alignment wrapText="1"/>
      <protection locked="0"/>
    </xf>
    <xf numFmtId="0" fontId="33" fillId="0" borderId="45" xfId="0" applyFont="1" applyFill="1" applyBorder="1"/>
    <xf numFmtId="0" fontId="0" fillId="0" borderId="0" xfId="0" applyFill="1"/>
    <xf numFmtId="9" fontId="54" fillId="19" borderId="85" xfId="1" applyNumberFormat="1" applyFont="1" applyFill="1" applyBorder="1" applyAlignment="1">
      <alignment horizontal="center" vertical="center" wrapText="1"/>
    </xf>
    <xf numFmtId="0" fontId="54" fillId="19" borderId="85" xfId="1" applyFont="1" applyFill="1" applyBorder="1" applyAlignment="1">
      <alignment horizontal="center" vertical="center" wrapText="1"/>
    </xf>
    <xf numFmtId="10" fontId="12" fillId="0" borderId="85" xfId="1" applyNumberFormat="1" applyFont="1" applyBorder="1" applyAlignment="1">
      <alignment horizontal="left" vertical="center" wrapText="1"/>
    </xf>
    <xf numFmtId="10" fontId="13" fillId="0" borderId="7" xfId="1" applyNumberFormat="1" applyFont="1" applyBorder="1" applyAlignment="1">
      <alignment horizontal="center" vertical="center"/>
    </xf>
    <xf numFmtId="9" fontId="12" fillId="0" borderId="85" xfId="7" applyFont="1" applyBorder="1" applyAlignment="1">
      <alignment horizontal="center" vertical="center"/>
    </xf>
    <xf numFmtId="220" fontId="12" fillId="0" borderId="85" xfId="7" applyNumberFormat="1" applyFont="1" applyBorder="1" applyAlignment="1">
      <alignment horizontal="center" vertical="center"/>
    </xf>
    <xf numFmtId="10" fontId="12" fillId="0" borderId="85" xfId="7" applyNumberFormat="1" applyFont="1" applyBorder="1" applyAlignment="1">
      <alignment horizontal="center" vertical="center"/>
    </xf>
    <xf numFmtId="10" fontId="12" fillId="0" borderId="85" xfId="1" applyNumberFormat="1" applyFont="1" applyBorder="1" applyAlignment="1">
      <alignment horizontal="center" vertical="center"/>
    </xf>
    <xf numFmtId="10" fontId="12" fillId="0" borderId="7" xfId="1" applyNumberFormat="1" applyFont="1" applyBorder="1" applyAlignment="1">
      <alignment horizontal="center" vertical="center"/>
    </xf>
    <xf numFmtId="10" fontId="13" fillId="0" borderId="85" xfId="7" applyNumberFormat="1" applyFont="1" applyBorder="1" applyAlignment="1">
      <alignment horizontal="center" vertical="center"/>
    </xf>
    <xf numFmtId="220" fontId="13" fillId="0" borderId="85" xfId="7" applyNumberFormat="1" applyFont="1" applyBorder="1" applyAlignment="1">
      <alignment horizontal="center" vertical="center"/>
    </xf>
    <xf numFmtId="10" fontId="12" fillId="20" borderId="85" xfId="7" applyNumberFormat="1" applyFont="1" applyFill="1" applyBorder="1" applyAlignment="1">
      <alignment horizontal="center" vertical="center"/>
    </xf>
    <xf numFmtId="10" fontId="12" fillId="0" borderId="85" xfId="5" applyNumberFormat="1" applyFont="1" applyBorder="1" applyAlignment="1">
      <alignment horizontal="center" vertical="center"/>
    </xf>
    <xf numFmtId="10" fontId="46" fillId="0" borderId="85" xfId="7" applyNumberFormat="1" applyFont="1" applyBorder="1" applyAlignment="1">
      <alignment horizontal="center" vertical="center"/>
    </xf>
    <xf numFmtId="9" fontId="54" fillId="26" borderId="85" xfId="1" applyNumberFormat="1" applyFont="1" applyFill="1" applyBorder="1" applyAlignment="1">
      <alignment horizontal="center" vertical="center" wrapText="1"/>
    </xf>
    <xf numFmtId="0" fontId="54" fillId="26" borderId="85" xfId="1" applyFont="1" applyFill="1" applyBorder="1" applyAlignment="1">
      <alignment horizontal="center" vertical="center" wrapText="1"/>
    </xf>
    <xf numFmtId="10" fontId="12" fillId="27" borderId="85" xfId="7" applyNumberFormat="1" applyFont="1" applyFill="1" applyBorder="1" applyAlignment="1">
      <alignment horizontal="center" vertical="center"/>
    </xf>
    <xf numFmtId="10" fontId="0" fillId="0" borderId="0" xfId="0" applyNumberFormat="1"/>
    <xf numFmtId="0" fontId="32" fillId="8" borderId="22" xfId="0" applyFont="1" applyFill="1" applyBorder="1" applyAlignment="1">
      <alignment vertical="center"/>
    </xf>
    <xf numFmtId="0" fontId="32" fillId="8" borderId="14" xfId="0" applyFont="1" applyFill="1" applyBorder="1" applyAlignment="1">
      <alignment vertical="center"/>
    </xf>
    <xf numFmtId="10" fontId="33" fillId="0" borderId="35" xfId="5" applyNumberFormat="1" applyFont="1" applyFill="1" applyBorder="1" applyAlignment="1">
      <alignment vertical="center"/>
    </xf>
    <xf numFmtId="10" fontId="33" fillId="0" borderId="35" xfId="0" applyNumberFormat="1" applyFont="1" applyBorder="1" applyAlignment="1">
      <alignment horizontal="right" vertical="center"/>
    </xf>
    <xf numFmtId="0" fontId="33" fillId="0" borderId="76" xfId="0" applyFont="1" applyBorder="1" applyAlignment="1">
      <alignment horizontal="left" vertical="center" wrapText="1"/>
    </xf>
    <xf numFmtId="0" fontId="55" fillId="0" borderId="13" xfId="0" applyFont="1" applyBorder="1" applyAlignment="1">
      <alignment horizontal="center" vertical="center"/>
    </xf>
    <xf numFmtId="0" fontId="55" fillId="0" borderId="15" xfId="0" applyFont="1" applyBorder="1" applyAlignment="1">
      <alignment horizontal="center" vertical="center"/>
    </xf>
    <xf numFmtId="0" fontId="55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3" fontId="4" fillId="8" borderId="17" xfId="8" applyFont="1" applyFill="1" applyBorder="1" applyAlignment="1">
      <alignment horizontal="center" vertical="center" wrapText="1"/>
    </xf>
    <xf numFmtId="173" fontId="6" fillId="8" borderId="17" xfId="8" applyFont="1" applyFill="1" applyBorder="1" applyAlignment="1">
      <alignment horizontal="center" vertical="center" wrapText="1"/>
    </xf>
    <xf numFmtId="173" fontId="4" fillId="8" borderId="17" xfId="8" applyFont="1" applyFill="1" applyBorder="1" applyAlignment="1">
      <alignment horizontal="right" vertical="center"/>
    </xf>
    <xf numFmtId="173" fontId="4" fillId="8" borderId="17" xfId="8" applyFont="1" applyFill="1" applyBorder="1" applyAlignment="1" applyProtection="1">
      <alignment horizontal="center" vertical="center"/>
      <protection locked="0"/>
    </xf>
    <xf numFmtId="0" fontId="16" fillId="0" borderId="1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73" fontId="5" fillId="3" borderId="17" xfId="8" applyFont="1" applyFill="1" applyBorder="1" applyAlignment="1">
      <alignment horizontal="right" vertical="center"/>
    </xf>
    <xf numFmtId="43" fontId="55" fillId="0" borderId="17" xfId="0" applyNumberFormat="1" applyFont="1" applyBorder="1" applyAlignment="1">
      <alignment horizontal="center" vertical="center"/>
    </xf>
    <xf numFmtId="173" fontId="6" fillId="8" borderId="17" xfId="8" applyFont="1" applyFill="1" applyBorder="1" applyAlignment="1">
      <alignment horizontal="right" vertical="center"/>
    </xf>
    <xf numFmtId="173" fontId="5" fillId="21" borderId="48" xfId="8" applyFont="1" applyFill="1" applyBorder="1" applyAlignment="1">
      <alignment horizontal="right" vertical="center"/>
    </xf>
    <xf numFmtId="173" fontId="5" fillId="21" borderId="49" xfId="8" applyFont="1" applyFill="1" applyBorder="1" applyAlignment="1">
      <alignment horizontal="right" vertical="center"/>
    </xf>
    <xf numFmtId="173" fontId="5" fillId="21" borderId="50" xfId="8" applyFont="1" applyFill="1" applyBorder="1" applyAlignment="1">
      <alignment horizontal="right" vertical="center"/>
    </xf>
    <xf numFmtId="173" fontId="5" fillId="21" borderId="11" xfId="8" applyFont="1" applyFill="1" applyBorder="1" applyAlignment="1">
      <alignment horizontal="right" vertical="center"/>
    </xf>
    <xf numFmtId="173" fontId="5" fillId="21" borderId="3" xfId="8" applyFont="1" applyFill="1" applyBorder="1" applyAlignment="1">
      <alignment horizontal="right" vertical="center"/>
    </xf>
    <xf numFmtId="173" fontId="5" fillId="21" borderId="12" xfId="8" applyFont="1" applyFill="1" applyBorder="1" applyAlignment="1">
      <alignment horizontal="right" vertical="center"/>
    </xf>
    <xf numFmtId="0" fontId="21" fillId="0" borderId="17" xfId="0" applyFont="1" applyBorder="1" applyAlignment="1">
      <alignment horizontal="center" vertical="center"/>
    </xf>
    <xf numFmtId="0" fontId="4" fillId="0" borderId="17" xfId="3" applyFont="1" applyBorder="1" applyAlignment="1">
      <alignment horizontal="left" vertical="center" wrapText="1"/>
    </xf>
    <xf numFmtId="0" fontId="12" fillId="6" borderId="13" xfId="0" applyFont="1" applyFill="1" applyBorder="1" applyAlignment="1" applyProtection="1">
      <alignment horizontal="center" vertical="center"/>
      <protection locked="0"/>
    </xf>
    <xf numFmtId="0" fontId="12" fillId="6" borderId="14" xfId="0" applyFont="1" applyFill="1" applyBorder="1" applyAlignment="1" applyProtection="1">
      <alignment horizontal="center" vertical="center"/>
      <protection locked="0"/>
    </xf>
    <xf numFmtId="0" fontId="12" fillId="6" borderId="15" xfId="0" applyFont="1" applyFill="1" applyBorder="1" applyAlignment="1" applyProtection="1">
      <alignment horizontal="center" vertical="center"/>
      <protection locked="0"/>
    </xf>
    <xf numFmtId="174" fontId="4" fillId="6" borderId="11" xfId="0" applyNumberFormat="1" applyFont="1" applyFill="1" applyBorder="1" applyAlignment="1" applyProtection="1">
      <alignment horizontal="left" vertical="center"/>
      <protection locked="0"/>
    </xf>
    <xf numFmtId="174" fontId="6" fillId="6" borderId="3" xfId="0" applyNumberFormat="1" applyFont="1" applyFill="1" applyBorder="1" applyAlignment="1" applyProtection="1">
      <alignment horizontal="left" vertical="center"/>
      <protection locked="0"/>
    </xf>
    <xf numFmtId="174" fontId="6" fillId="6" borderId="12" xfId="0" applyNumberFormat="1" applyFont="1" applyFill="1" applyBorder="1" applyAlignment="1" applyProtection="1">
      <alignment horizontal="left" vertical="center"/>
      <protection locked="0"/>
    </xf>
    <xf numFmtId="0" fontId="6" fillId="6" borderId="11" xfId="0" applyFont="1" applyFill="1" applyBorder="1" applyAlignment="1" applyProtection="1">
      <alignment horizontal="center" vertical="center"/>
      <protection locked="0"/>
    </xf>
    <xf numFmtId="0" fontId="6" fillId="6" borderId="12" xfId="0" applyFont="1" applyFill="1" applyBorder="1" applyAlignment="1" applyProtection="1">
      <alignment horizontal="center" vertical="center"/>
      <protection locked="0"/>
    </xf>
    <xf numFmtId="0" fontId="5" fillId="6" borderId="11" xfId="0" applyFont="1" applyFill="1" applyBorder="1" applyAlignment="1" applyProtection="1">
      <alignment horizontal="left" vertical="center"/>
      <protection locked="0"/>
    </xf>
    <xf numFmtId="0" fontId="5" fillId="6" borderId="3" xfId="0" applyFont="1" applyFill="1" applyBorder="1" applyAlignment="1" applyProtection="1">
      <alignment horizontal="left" vertical="center"/>
      <protection locked="0"/>
    </xf>
    <xf numFmtId="0" fontId="5" fillId="6" borderId="12" xfId="0" applyFont="1" applyFill="1" applyBorder="1" applyAlignment="1" applyProtection="1">
      <alignment horizontal="left" vertical="center"/>
      <protection locked="0"/>
    </xf>
    <xf numFmtId="0" fontId="4" fillId="6" borderId="11" xfId="0" applyFont="1" applyFill="1" applyBorder="1" applyAlignment="1" applyProtection="1">
      <alignment horizontal="left" vertical="center"/>
      <protection locked="0"/>
    </xf>
    <xf numFmtId="0" fontId="6" fillId="6" borderId="3" xfId="0" applyFont="1" applyFill="1" applyBorder="1" applyAlignment="1" applyProtection="1">
      <alignment horizontal="left" vertical="center"/>
      <protection locked="0"/>
    </xf>
    <xf numFmtId="0" fontId="6" fillId="6" borderId="12" xfId="0" applyFont="1" applyFill="1" applyBorder="1" applyAlignment="1" applyProtection="1">
      <alignment horizontal="left" vertical="center"/>
      <protection locked="0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9" fillId="2" borderId="2" xfId="0" applyFont="1" applyFill="1" applyBorder="1" applyAlignment="1">
      <alignment horizontal="right" vertical="center"/>
    </xf>
    <xf numFmtId="10" fontId="2" fillId="5" borderId="8" xfId="5" applyNumberFormat="1" applyFont="1" applyFill="1" applyBorder="1" applyAlignment="1">
      <alignment horizontal="center" vertical="center"/>
    </xf>
    <xf numFmtId="10" fontId="2" fillId="5" borderId="10" xfId="5" applyNumberFormat="1" applyFont="1" applyFill="1" applyBorder="1" applyAlignment="1">
      <alignment horizontal="center" vertical="center"/>
    </xf>
    <xf numFmtId="10" fontId="2" fillId="5" borderId="9" xfId="5" applyNumberFormat="1" applyFont="1" applyFill="1" applyBorder="1" applyAlignment="1">
      <alignment horizontal="center" vertical="center"/>
    </xf>
    <xf numFmtId="10" fontId="2" fillId="5" borderId="11" xfId="5" applyNumberFormat="1" applyFont="1" applyFill="1" applyBorder="1" applyAlignment="1">
      <alignment horizontal="center" vertical="center"/>
    </xf>
    <xf numFmtId="10" fontId="2" fillId="5" borderId="3" xfId="5" applyNumberFormat="1" applyFont="1" applyFill="1" applyBorder="1" applyAlignment="1">
      <alignment horizontal="center" vertical="center"/>
    </xf>
    <xf numFmtId="10" fontId="2" fillId="5" borderId="12" xfId="5" applyNumberFormat="1" applyFont="1" applyFill="1" applyBorder="1" applyAlignment="1">
      <alignment horizontal="center" vertical="center"/>
    </xf>
    <xf numFmtId="10" fontId="6" fillId="6" borderId="5" xfId="8" applyNumberFormat="1" applyFont="1" applyFill="1" applyBorder="1" applyAlignment="1" applyProtection="1">
      <alignment horizontal="right" vertical="center"/>
      <protection locked="0"/>
    </xf>
    <xf numFmtId="173" fontId="6" fillId="6" borderId="5" xfId="8" applyFont="1" applyFill="1" applyBorder="1" applyAlignment="1" applyProtection="1">
      <alignment horizontal="right" vertical="center"/>
      <protection locked="0"/>
    </xf>
    <xf numFmtId="10" fontId="6" fillId="6" borderId="7" xfId="8" applyNumberFormat="1" applyFont="1" applyFill="1" applyBorder="1" applyAlignment="1" applyProtection="1">
      <alignment horizontal="right" vertical="center"/>
      <protection locked="0"/>
    </xf>
    <xf numFmtId="173" fontId="6" fillId="6" borderId="7" xfId="8" applyFont="1" applyFill="1" applyBorder="1" applyAlignment="1" applyProtection="1">
      <alignment horizontal="right" vertical="center"/>
      <protection locked="0"/>
    </xf>
    <xf numFmtId="0" fontId="9" fillId="2" borderId="1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5" fillId="3" borderId="53" xfId="0" applyFont="1" applyFill="1" applyBorder="1" applyAlignment="1">
      <alignment horizontal="right" vertical="center"/>
    </xf>
    <xf numFmtId="0" fontId="5" fillId="3" borderId="10" xfId="0" applyFont="1" applyFill="1" applyBorder="1" applyAlignment="1">
      <alignment horizontal="right" vertical="center"/>
    </xf>
    <xf numFmtId="0" fontId="5" fillId="3" borderId="9" xfId="0" applyFont="1" applyFill="1" applyBorder="1" applyAlignment="1">
      <alignment horizontal="right" vertical="center"/>
    </xf>
    <xf numFmtId="0" fontId="5" fillId="3" borderId="57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2" xfId="0" applyFont="1" applyFill="1" applyBorder="1" applyAlignment="1">
      <alignment horizontal="right" vertical="center"/>
    </xf>
    <xf numFmtId="0" fontId="12" fillId="0" borderId="53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10" fontId="10" fillId="0" borderId="7" xfId="0" applyNumberFormat="1" applyFont="1" applyBorder="1" applyAlignment="1">
      <alignment horizontal="center" vertical="center"/>
    </xf>
    <xf numFmtId="10" fontId="10" fillId="0" borderId="52" xfId="0" applyNumberFormat="1" applyFont="1" applyBorder="1" applyAlignment="1">
      <alignment horizontal="center" vertical="center"/>
    </xf>
    <xf numFmtId="10" fontId="6" fillId="6" borderId="40" xfId="8" applyNumberFormat="1" applyFont="1" applyFill="1" applyBorder="1" applyAlignment="1" applyProtection="1">
      <alignment horizontal="right" vertical="center"/>
      <protection locked="0"/>
    </xf>
    <xf numFmtId="173" fontId="6" fillId="6" borderId="40" xfId="8" applyFont="1" applyFill="1" applyBorder="1" applyAlignment="1" applyProtection="1">
      <alignment horizontal="right" vertical="center"/>
      <protection locked="0"/>
    </xf>
    <xf numFmtId="10" fontId="10" fillId="0" borderId="40" xfId="0" applyNumberFormat="1" applyFont="1" applyBorder="1" applyAlignment="1">
      <alignment horizontal="center" vertical="center"/>
    </xf>
    <xf numFmtId="10" fontId="10" fillId="0" borderId="55" xfId="0" applyNumberFormat="1" applyFont="1" applyBorder="1" applyAlignment="1">
      <alignment horizontal="center" vertical="center"/>
    </xf>
    <xf numFmtId="10" fontId="10" fillId="0" borderId="5" xfId="0" applyNumberFormat="1" applyFont="1" applyBorder="1" applyAlignment="1">
      <alignment horizontal="center" vertical="center"/>
    </xf>
    <xf numFmtId="10" fontId="10" fillId="0" borderId="56" xfId="0" applyNumberFormat="1" applyFont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73" fontId="5" fillId="3" borderId="8" xfId="8" applyFont="1" applyFill="1" applyBorder="1" applyAlignment="1">
      <alignment horizontal="center" vertical="center"/>
    </xf>
    <xf numFmtId="173" fontId="5" fillId="3" borderId="10" xfId="8" applyFont="1" applyFill="1" applyBorder="1" applyAlignment="1">
      <alignment horizontal="center" vertical="center"/>
    </xf>
    <xf numFmtId="173" fontId="5" fillId="3" borderId="9" xfId="8" applyFont="1" applyFill="1" applyBorder="1" applyAlignment="1">
      <alignment horizontal="center" vertical="center"/>
    </xf>
    <xf numFmtId="173" fontId="5" fillId="3" borderId="1" xfId="8" applyFont="1" applyFill="1" applyBorder="1" applyAlignment="1">
      <alignment horizontal="center" vertical="center"/>
    </xf>
    <xf numFmtId="173" fontId="5" fillId="3" borderId="0" xfId="8" applyFont="1" applyFill="1" applyAlignment="1">
      <alignment horizontal="center" vertical="center"/>
    </xf>
    <xf numFmtId="173" fontId="5" fillId="3" borderId="2" xfId="8" applyFont="1" applyFill="1" applyBorder="1" applyAlignment="1">
      <alignment horizontal="center" vertical="center"/>
    </xf>
    <xf numFmtId="173" fontId="5" fillId="3" borderId="11" xfId="8" applyFont="1" applyFill="1" applyBorder="1" applyAlignment="1">
      <alignment horizontal="center" vertical="center"/>
    </xf>
    <xf numFmtId="173" fontId="5" fillId="3" borderId="3" xfId="8" applyFont="1" applyFill="1" applyBorder="1" applyAlignment="1">
      <alignment horizontal="center" vertical="center"/>
    </xf>
    <xf numFmtId="173" fontId="5" fillId="3" borderId="12" xfId="8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55" fillId="8" borderId="17" xfId="0" applyFont="1" applyFill="1" applyBorder="1" applyAlignment="1">
      <alignment horizontal="center" vertical="center"/>
    </xf>
    <xf numFmtId="0" fontId="55" fillId="0" borderId="8" xfId="0" applyFont="1" applyBorder="1" applyAlignment="1">
      <alignment horizontal="center" vertical="center"/>
    </xf>
    <xf numFmtId="0" fontId="55" fillId="0" borderId="10" xfId="0" applyFont="1" applyBorder="1" applyAlignment="1">
      <alignment horizontal="center" vertical="center"/>
    </xf>
    <xf numFmtId="0" fontId="55" fillId="0" borderId="9" xfId="0" applyFont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 textRotation="90"/>
    </xf>
    <xf numFmtId="0" fontId="5" fillId="3" borderId="51" xfId="0" applyFont="1" applyFill="1" applyBorder="1" applyAlignment="1">
      <alignment horizontal="center" vertical="center" textRotation="90"/>
    </xf>
    <xf numFmtId="0" fontId="5" fillId="3" borderId="30" xfId="0" applyFont="1" applyFill="1" applyBorder="1" applyAlignment="1">
      <alignment horizontal="center" vertical="center" textRotation="90"/>
    </xf>
    <xf numFmtId="0" fontId="13" fillId="3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left" wrapText="1"/>
    </xf>
    <xf numFmtId="173" fontId="6" fillId="3" borderId="15" xfId="8" applyFont="1" applyFill="1" applyBorder="1" applyAlignment="1">
      <alignment horizontal="right" vertical="center"/>
    </xf>
    <xf numFmtId="173" fontId="6" fillId="3" borderId="17" xfId="8" applyFont="1" applyFill="1" applyBorder="1" applyAlignment="1">
      <alignment horizontal="right" vertical="center"/>
    </xf>
    <xf numFmtId="0" fontId="20" fillId="0" borderId="8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173" fontId="5" fillId="3" borderId="34" xfId="8" applyFont="1" applyFill="1" applyBorder="1" applyAlignment="1">
      <alignment horizontal="right" vertical="center"/>
    </xf>
    <xf numFmtId="173" fontId="6" fillId="3" borderId="13" xfId="8" applyFont="1" applyFill="1" applyBorder="1" applyAlignment="1">
      <alignment horizontal="right" vertical="center"/>
    </xf>
    <xf numFmtId="0" fontId="55" fillId="0" borderId="1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3" fillId="0" borderId="22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58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8" fillId="0" borderId="60" xfId="0" applyFont="1" applyBorder="1" applyAlignment="1">
      <alignment horizontal="center" wrapText="1"/>
    </xf>
    <xf numFmtId="0" fontId="18" fillId="0" borderId="42" xfId="0" applyFont="1" applyBorder="1" applyAlignment="1">
      <alignment horizontal="center" wrapText="1"/>
    </xf>
    <xf numFmtId="0" fontId="18" fillId="0" borderId="61" xfId="0" applyFont="1" applyBorder="1" applyAlignment="1">
      <alignment horizontal="center" wrapText="1"/>
    </xf>
    <xf numFmtId="0" fontId="3" fillId="0" borderId="2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58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58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3" fillId="0" borderId="45" xfId="0" applyFont="1" applyBorder="1" applyAlignment="1">
      <alignment horizontal="left" wrapText="1"/>
    </xf>
    <xf numFmtId="0" fontId="3" fillId="0" borderId="46" xfId="0" applyFont="1" applyBorder="1" applyAlignment="1">
      <alignment horizontal="left" wrapText="1"/>
    </xf>
    <xf numFmtId="0" fontId="10" fillId="0" borderId="34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59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12" fillId="0" borderId="14" xfId="0" applyFont="1" applyBorder="1" applyAlignment="1">
      <alignment horizontal="left"/>
    </xf>
    <xf numFmtId="0" fontId="12" fillId="0" borderId="15" xfId="0" applyFont="1" applyBorder="1" applyAlignment="1">
      <alignment horizontal="left"/>
    </xf>
    <xf numFmtId="193" fontId="0" fillId="22" borderId="13" xfId="0" applyNumberFormat="1" applyFill="1" applyBorder="1" applyAlignment="1">
      <alignment horizontal="left"/>
    </xf>
    <xf numFmtId="193" fontId="0" fillId="22" borderId="15" xfId="0" applyNumberFormat="1" applyFill="1" applyBorder="1" applyAlignment="1">
      <alignment horizontal="left"/>
    </xf>
    <xf numFmtId="0" fontId="12" fillId="0" borderId="13" xfId="0" applyFont="1" applyBorder="1" applyAlignment="1">
      <alignment horizontal="left" wrapText="1"/>
    </xf>
    <xf numFmtId="0" fontId="12" fillId="0" borderId="15" xfId="0" applyFont="1" applyBorder="1" applyAlignment="1">
      <alignment horizontal="left" wrapText="1"/>
    </xf>
    <xf numFmtId="193" fontId="0" fillId="0" borderId="13" xfId="0" applyNumberFormat="1" applyBorder="1" applyAlignment="1">
      <alignment horizontal="center"/>
    </xf>
    <xf numFmtId="193" fontId="0" fillId="0" borderId="15" xfId="0" applyNumberFormat="1" applyBorder="1" applyAlignment="1">
      <alignment horizontal="center"/>
    </xf>
    <xf numFmtId="193" fontId="0" fillId="22" borderId="13" xfId="0" applyNumberFormat="1" applyFill="1" applyBorder="1" applyAlignment="1">
      <alignment horizontal="center"/>
    </xf>
    <xf numFmtId="193" fontId="0" fillId="22" borderId="15" xfId="0" applyNumberFormat="1" applyFill="1" applyBorder="1" applyAlignment="1">
      <alignment horizontal="center"/>
    </xf>
    <xf numFmtId="199" fontId="0" fillId="0" borderId="13" xfId="0" applyNumberFormat="1" applyBorder="1" applyAlignment="1">
      <alignment horizontal="center"/>
    </xf>
    <xf numFmtId="199" fontId="0" fillId="0" borderId="15" xfId="0" applyNumberFormat="1" applyBorder="1" applyAlignment="1">
      <alignment horizontal="center"/>
    </xf>
    <xf numFmtId="0" fontId="3" fillId="0" borderId="10" xfId="0" applyFont="1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9" xfId="0" applyBorder="1" applyAlignment="1">
      <alignment horizontal="right"/>
    </xf>
    <xf numFmtId="193" fontId="2" fillId="0" borderId="13" xfId="0" applyNumberFormat="1" applyFont="1" applyBorder="1" applyAlignment="1">
      <alignment horizontal="left"/>
    </xf>
    <xf numFmtId="193" fontId="2" fillId="0" borderId="15" xfId="0" applyNumberFormat="1" applyFont="1" applyBorder="1" applyAlignment="1">
      <alignment horizontal="left"/>
    </xf>
    <xf numFmtId="0" fontId="3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7" fontId="33" fillId="8" borderId="13" xfId="0" applyNumberFormat="1" applyFont="1" applyFill="1" applyBorder="1" applyAlignment="1">
      <alignment horizontal="right" vertical="center" wrapText="1"/>
    </xf>
    <xf numFmtId="17" fontId="33" fillId="8" borderId="58" xfId="0" applyNumberFormat="1" applyFont="1" applyFill="1" applyBorder="1" applyAlignment="1">
      <alignment horizontal="right" vertical="center" wrapText="1"/>
    </xf>
    <xf numFmtId="0" fontId="50" fillId="0" borderId="77" xfId="0" applyFont="1" applyBorder="1" applyAlignment="1">
      <alignment horizontal="left" vertical="center" wrapText="1"/>
    </xf>
    <xf numFmtId="0" fontId="50" fillId="0" borderId="77" xfId="0" applyFont="1" applyBorder="1" applyAlignment="1" applyProtection="1">
      <alignment horizontal="left" vertical="center" wrapText="1"/>
      <protection locked="0"/>
    </xf>
    <xf numFmtId="0" fontId="32" fillId="8" borderId="34" xfId="0" applyFont="1" applyFill="1" applyBorder="1" applyAlignment="1">
      <alignment horizontal="left" vertical="center" wrapText="1"/>
    </xf>
    <xf numFmtId="0" fontId="32" fillId="8" borderId="17" xfId="0" applyFont="1" applyFill="1" applyBorder="1" applyAlignment="1">
      <alignment horizontal="left" vertical="center" wrapText="1"/>
    </xf>
    <xf numFmtId="0" fontId="32" fillId="8" borderId="13" xfId="0" applyFont="1" applyFill="1" applyBorder="1" applyAlignment="1">
      <alignment horizontal="left" vertical="center" wrapText="1"/>
    </xf>
    <xf numFmtId="0" fontId="50" fillId="17" borderId="76" xfId="0" applyFont="1" applyFill="1" applyBorder="1" applyAlignment="1">
      <alignment horizontal="center" vertical="center" wrapText="1"/>
    </xf>
    <xf numFmtId="0" fontId="50" fillId="17" borderId="76" xfId="0" applyFont="1" applyFill="1" applyBorder="1" applyAlignment="1" applyProtection="1">
      <alignment horizontal="center" vertical="center" wrapText="1"/>
      <protection locked="0"/>
    </xf>
    <xf numFmtId="0" fontId="32" fillId="17" borderId="76" xfId="0" applyFont="1" applyFill="1" applyBorder="1" applyAlignment="1">
      <alignment horizontal="center" vertical="center" wrapText="1"/>
    </xf>
    <xf numFmtId="0" fontId="50" fillId="17" borderId="77" xfId="0" applyFont="1" applyFill="1" applyBorder="1" applyAlignment="1">
      <alignment horizontal="center" vertical="center" wrapText="1"/>
    </xf>
    <xf numFmtId="0" fontId="50" fillId="17" borderId="77" xfId="0" applyFont="1" applyFill="1" applyBorder="1" applyAlignment="1" applyProtection="1">
      <alignment horizontal="center" vertical="center" wrapText="1"/>
      <protection locked="0"/>
    </xf>
    <xf numFmtId="0" fontId="34" fillId="0" borderId="60" xfId="0" applyFont="1" applyBorder="1" applyAlignment="1">
      <alignment horizontal="center" vertical="center"/>
    </xf>
    <xf numFmtId="0" fontId="32" fillId="0" borderId="42" xfId="0" applyFont="1" applyBorder="1" applyAlignment="1">
      <alignment horizontal="center" vertical="center"/>
    </xf>
    <xf numFmtId="0" fontId="32" fillId="0" borderId="61" xfId="0" applyFont="1" applyBorder="1" applyAlignment="1">
      <alignment horizontal="center" vertical="center"/>
    </xf>
    <xf numFmtId="0" fontId="32" fillId="0" borderId="25" xfId="0" applyFont="1" applyBorder="1" applyAlignment="1">
      <alignment horizontal="left" vertical="center" wrapText="1"/>
    </xf>
    <xf numFmtId="0" fontId="32" fillId="0" borderId="62" xfId="0" applyFont="1" applyBorder="1" applyAlignment="1">
      <alignment horizontal="left" vertical="center" wrapText="1"/>
    </xf>
    <xf numFmtId="0" fontId="32" fillId="0" borderId="63" xfId="0" applyFont="1" applyBorder="1" applyAlignment="1">
      <alignment horizontal="left" vertical="center" wrapText="1"/>
    </xf>
    <xf numFmtId="0" fontId="32" fillId="0" borderId="22" xfId="0" applyFont="1" applyBorder="1" applyAlignment="1">
      <alignment horizontal="left" vertical="center"/>
    </xf>
    <xf numFmtId="0" fontId="32" fillId="0" borderId="14" xfId="0" applyFont="1" applyBorder="1" applyAlignment="1">
      <alignment horizontal="left" vertical="center"/>
    </xf>
    <xf numFmtId="0" fontId="32" fillId="0" borderId="58" xfId="0" applyFont="1" applyBorder="1" applyAlignment="1">
      <alignment horizontal="left" vertical="center"/>
    </xf>
    <xf numFmtId="0" fontId="32" fillId="0" borderId="17" xfId="0" applyFont="1" applyFill="1" applyBorder="1" applyAlignment="1">
      <alignment horizontal="left" vertical="center" wrapText="1"/>
    </xf>
    <xf numFmtId="0" fontId="32" fillId="0" borderId="17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center"/>
    </xf>
    <xf numFmtId="0" fontId="50" fillId="17" borderId="79" xfId="0" applyFont="1" applyFill="1" applyBorder="1" applyAlignment="1" applyProtection="1">
      <alignment horizontal="center" vertical="center" wrapText="1"/>
      <protection locked="0"/>
    </xf>
    <xf numFmtId="0" fontId="50" fillId="17" borderId="79" xfId="0" applyFont="1" applyFill="1" applyBorder="1" applyAlignment="1">
      <alignment horizontal="center" vertical="center" wrapText="1"/>
    </xf>
    <xf numFmtId="0" fontId="50" fillId="17" borderId="100" xfId="0" applyFont="1" applyFill="1" applyBorder="1" applyAlignment="1" applyProtection="1">
      <alignment horizontal="center" vertical="center" wrapText="1"/>
      <protection locked="0"/>
    </xf>
    <xf numFmtId="0" fontId="33" fillId="0" borderId="10" xfId="0" applyFont="1" applyBorder="1" applyAlignment="1">
      <alignment horizontal="center"/>
    </xf>
    <xf numFmtId="0" fontId="50" fillId="0" borderId="77" xfId="0" applyFont="1" applyBorder="1" applyAlignment="1">
      <alignment horizontal="right" vertical="center" wrapText="1"/>
    </xf>
    <xf numFmtId="0" fontId="50" fillId="0" borderId="77" xfId="0" applyFont="1" applyBorder="1" applyAlignment="1" applyProtection="1">
      <alignment horizontal="right" vertical="center" wrapText="1"/>
      <protection locked="0"/>
    </xf>
    <xf numFmtId="0" fontId="12" fillId="27" borderId="64" xfId="1" applyFont="1" applyFill="1" applyBorder="1" applyAlignment="1">
      <alignment horizontal="justify" vertical="center" wrapText="1"/>
    </xf>
    <xf numFmtId="0" fontId="12" fillId="27" borderId="7" xfId="1" applyFont="1" applyFill="1" applyBorder="1" applyAlignment="1">
      <alignment horizontal="justify" vertical="center" wrapText="1"/>
    </xf>
    <xf numFmtId="0" fontId="12" fillId="27" borderId="86" xfId="1" applyFont="1" applyFill="1" applyBorder="1" applyAlignment="1">
      <alignment horizontal="justify" vertical="center" wrapText="1"/>
    </xf>
    <xf numFmtId="0" fontId="56" fillId="0" borderId="0" xfId="0" applyFont="1" applyAlignment="1">
      <alignment horizontal="justify" vertical="center" wrapText="1"/>
    </xf>
    <xf numFmtId="10" fontId="13" fillId="27" borderId="85" xfId="7" applyNumberFormat="1" applyFont="1" applyFill="1" applyBorder="1" applyAlignment="1">
      <alignment horizontal="center" vertical="center"/>
    </xf>
    <xf numFmtId="0" fontId="13" fillId="23" borderId="64" xfId="1" applyFont="1" applyFill="1" applyBorder="1" applyAlignment="1">
      <alignment horizontal="center" vertical="center"/>
    </xf>
    <xf numFmtId="0" fontId="13" fillId="23" borderId="7" xfId="1" applyFont="1" applyFill="1" applyBorder="1" applyAlignment="1">
      <alignment horizontal="center" vertical="center"/>
    </xf>
    <xf numFmtId="0" fontId="13" fillId="23" borderId="86" xfId="1" applyFont="1" applyFill="1" applyBorder="1" applyAlignment="1">
      <alignment horizontal="center" vertical="center"/>
    </xf>
    <xf numFmtId="0" fontId="12" fillId="0" borderId="64" xfId="1" applyFont="1" applyBorder="1" applyAlignment="1">
      <alignment horizontal="left" vertical="center"/>
    </xf>
    <xf numFmtId="0" fontId="12" fillId="0" borderId="7" xfId="1" applyFont="1" applyBorder="1" applyAlignment="1">
      <alignment horizontal="left" vertical="center"/>
    </xf>
    <xf numFmtId="0" fontId="12" fillId="0" borderId="86" xfId="1" applyFont="1" applyBorder="1" applyAlignment="1">
      <alignment horizontal="left" vertical="center"/>
    </xf>
    <xf numFmtId="0" fontId="13" fillId="0" borderId="65" xfId="1" applyFont="1" applyBorder="1" applyAlignment="1">
      <alignment horizontal="center" vertical="center"/>
    </xf>
    <xf numFmtId="0" fontId="13" fillId="0" borderId="88" xfId="1" applyFont="1" applyBorder="1" applyAlignment="1">
      <alignment horizontal="center" vertical="center"/>
    </xf>
    <xf numFmtId="0" fontId="13" fillId="0" borderId="66" xfId="1" applyFont="1" applyBorder="1" applyAlignment="1">
      <alignment horizontal="center" vertical="center"/>
    </xf>
    <xf numFmtId="0" fontId="13" fillId="0" borderId="89" xfId="1" applyFont="1" applyBorder="1" applyAlignment="1">
      <alignment horizontal="center" vertical="center"/>
    </xf>
    <xf numFmtId="0" fontId="42" fillId="23" borderId="65" xfId="1" applyFont="1" applyFill="1" applyBorder="1" applyAlignment="1">
      <alignment horizontal="center" vertical="center"/>
    </xf>
    <xf numFmtId="0" fontId="42" fillId="23" borderId="90" xfId="1" applyFont="1" applyFill="1" applyBorder="1" applyAlignment="1">
      <alignment horizontal="center" vertical="center"/>
    </xf>
    <xf numFmtId="0" fontId="42" fillId="23" borderId="88" xfId="1" applyFont="1" applyFill="1" applyBorder="1" applyAlignment="1">
      <alignment horizontal="center" vertical="center"/>
    </xf>
    <xf numFmtId="0" fontId="13" fillId="23" borderId="66" xfId="1" applyFont="1" applyFill="1" applyBorder="1" applyAlignment="1">
      <alignment horizontal="center" vertical="center"/>
    </xf>
    <xf numFmtId="0" fontId="13" fillId="23" borderId="91" xfId="1" applyFont="1" applyFill="1" applyBorder="1" applyAlignment="1">
      <alignment horizontal="center" vertical="center"/>
    </xf>
    <xf numFmtId="0" fontId="13" fillId="23" borderId="89" xfId="1" applyFont="1" applyFill="1" applyBorder="1" applyAlignment="1">
      <alignment horizontal="center" vertical="center"/>
    </xf>
    <xf numFmtId="0" fontId="12" fillId="0" borderId="64" xfId="1" applyFont="1" applyBorder="1" applyAlignment="1">
      <alignment horizontal="right" vertical="center"/>
    </xf>
    <xf numFmtId="0" fontId="12" fillId="0" borderId="86" xfId="1" applyFont="1" applyBorder="1" applyAlignment="1">
      <alignment horizontal="right" vertical="center"/>
    </xf>
    <xf numFmtId="220" fontId="13" fillId="0" borderId="92" xfId="7" applyNumberFormat="1" applyFont="1" applyBorder="1" applyAlignment="1">
      <alignment horizontal="center" vertical="center"/>
    </xf>
    <xf numFmtId="220" fontId="13" fillId="0" borderId="93" xfId="7" applyNumberFormat="1" applyFont="1" applyBorder="1" applyAlignment="1">
      <alignment horizontal="center" vertical="center"/>
    </xf>
    <xf numFmtId="220" fontId="13" fillId="0" borderId="94" xfId="7" applyNumberFormat="1" applyFont="1" applyBorder="1" applyAlignment="1">
      <alignment horizontal="center" vertical="center"/>
    </xf>
    <xf numFmtId="10" fontId="13" fillId="27" borderId="65" xfId="7" applyNumberFormat="1" applyFont="1" applyFill="1" applyBorder="1" applyAlignment="1">
      <alignment horizontal="center" vertical="center"/>
    </xf>
    <xf numFmtId="10" fontId="13" fillId="27" borderId="88" xfId="7" applyNumberFormat="1" applyFont="1" applyFill="1" applyBorder="1" applyAlignment="1">
      <alignment horizontal="center" vertical="center"/>
    </xf>
    <xf numFmtId="10" fontId="13" fillId="27" borderId="66" xfId="7" applyNumberFormat="1" applyFont="1" applyFill="1" applyBorder="1" applyAlignment="1">
      <alignment horizontal="center" vertical="center"/>
    </xf>
    <xf numFmtId="10" fontId="13" fillId="27" borderId="89" xfId="7" applyNumberFormat="1" applyFont="1" applyFill="1" applyBorder="1" applyAlignment="1">
      <alignment horizontal="center" vertical="center"/>
    </xf>
    <xf numFmtId="0" fontId="37" fillId="0" borderId="0" xfId="0" applyFont="1" applyAlignment="1">
      <alignment horizontal="center"/>
    </xf>
    <xf numFmtId="0" fontId="38" fillId="23" borderId="64" xfId="1" applyFont="1" applyFill="1" applyBorder="1" applyAlignment="1">
      <alignment horizontal="center" vertical="center" wrapText="1"/>
    </xf>
    <xf numFmtId="0" fontId="38" fillId="23" borderId="7" xfId="1" applyFont="1" applyFill="1" applyBorder="1" applyAlignment="1">
      <alignment horizontal="center" vertical="center" wrapText="1"/>
    </xf>
    <xf numFmtId="0" fontId="38" fillId="23" borderId="86" xfId="1" applyFont="1" applyFill="1" applyBorder="1" applyAlignment="1">
      <alignment horizontal="center" vertical="center" wrapText="1"/>
    </xf>
    <xf numFmtId="0" fontId="54" fillId="26" borderId="85" xfId="1" applyFont="1" applyFill="1" applyBorder="1" applyAlignment="1">
      <alignment horizontal="center" vertical="center" wrapText="1"/>
    </xf>
    <xf numFmtId="0" fontId="54" fillId="26" borderId="85" xfId="1" applyFont="1" applyFill="1" applyBorder="1" applyAlignment="1">
      <alignment horizontal="center" vertical="center"/>
    </xf>
    <xf numFmtId="0" fontId="54" fillId="26" borderId="92" xfId="1" applyFont="1" applyFill="1" applyBorder="1" applyAlignment="1">
      <alignment horizontal="center" vertical="center" wrapText="1"/>
    </xf>
    <xf numFmtId="0" fontId="54" fillId="26" borderId="93" xfId="1" applyFont="1" applyFill="1" applyBorder="1" applyAlignment="1">
      <alignment horizontal="center" vertical="center" wrapText="1"/>
    </xf>
    <xf numFmtId="0" fontId="54" fillId="26" borderId="94" xfId="1" applyFont="1" applyFill="1" applyBorder="1" applyAlignment="1">
      <alignment horizontal="center" vertical="center" wrapText="1"/>
    </xf>
    <xf numFmtId="0" fontId="54" fillId="26" borderId="64" xfId="1" applyFont="1" applyFill="1" applyBorder="1" applyAlignment="1">
      <alignment horizontal="center" vertical="center"/>
    </xf>
    <xf numFmtId="0" fontId="54" fillId="26" borderId="7" xfId="1" applyFont="1" applyFill="1" applyBorder="1" applyAlignment="1">
      <alignment horizontal="center" vertical="center"/>
    </xf>
    <xf numFmtId="0" fontId="54" fillId="26" borderId="86" xfId="1" applyFont="1" applyFill="1" applyBorder="1" applyAlignment="1">
      <alignment horizontal="center" vertical="center"/>
    </xf>
    <xf numFmtId="0" fontId="54" fillId="19" borderId="85" xfId="1" applyFont="1" applyFill="1" applyBorder="1" applyAlignment="1">
      <alignment horizontal="center" vertical="center" wrapText="1"/>
    </xf>
    <xf numFmtId="0" fontId="54" fillId="19" borderId="64" xfId="1" applyFont="1" applyFill="1" applyBorder="1" applyAlignment="1">
      <alignment horizontal="center" vertical="center" wrapText="1"/>
    </xf>
    <xf numFmtId="0" fontId="54" fillId="19" borderId="7" xfId="1" applyFont="1" applyFill="1" applyBorder="1" applyAlignment="1">
      <alignment horizontal="center" vertical="center" wrapText="1"/>
    </xf>
    <xf numFmtId="0" fontId="54" fillId="19" borderId="86" xfId="1" applyFont="1" applyFill="1" applyBorder="1" applyAlignment="1">
      <alignment horizontal="center" vertical="center" wrapText="1"/>
    </xf>
    <xf numFmtId="9" fontId="12" fillId="0" borderId="64" xfId="7" applyFont="1" applyBorder="1" applyAlignment="1">
      <alignment horizontal="center" vertical="center"/>
    </xf>
    <xf numFmtId="9" fontId="12" fillId="0" borderId="86" xfId="7" applyFont="1" applyBorder="1" applyAlignment="1">
      <alignment horizontal="center" vertical="center"/>
    </xf>
    <xf numFmtId="10" fontId="12" fillId="0" borderId="64" xfId="7" applyNumberFormat="1" applyFont="1" applyBorder="1" applyAlignment="1">
      <alignment horizontal="center" vertical="center"/>
    </xf>
    <xf numFmtId="10" fontId="12" fillId="0" borderId="86" xfId="7" applyNumberFormat="1" applyFont="1" applyBorder="1" applyAlignment="1">
      <alignment horizontal="center" vertical="center"/>
    </xf>
    <xf numFmtId="10" fontId="12" fillId="0" borderId="64" xfId="1" applyNumberFormat="1" applyFont="1" applyBorder="1" applyAlignment="1">
      <alignment horizontal="center" vertical="center"/>
    </xf>
    <xf numFmtId="10" fontId="12" fillId="0" borderId="86" xfId="1" applyNumberFormat="1" applyFont="1" applyBorder="1" applyAlignment="1">
      <alignment horizontal="center" vertical="center"/>
    </xf>
    <xf numFmtId="10" fontId="13" fillId="0" borderId="64" xfId="7" applyNumberFormat="1" applyFont="1" applyBorder="1" applyAlignment="1">
      <alignment horizontal="center" vertical="center"/>
    </xf>
    <xf numFmtId="10" fontId="13" fillId="0" borderId="86" xfId="7" applyNumberFormat="1" applyFont="1" applyBorder="1" applyAlignment="1">
      <alignment horizontal="center" vertical="center"/>
    </xf>
    <xf numFmtId="10" fontId="12" fillId="20" borderId="64" xfId="7" applyNumberFormat="1" applyFont="1" applyFill="1" applyBorder="1" applyAlignment="1">
      <alignment horizontal="center" vertical="center"/>
    </xf>
    <xf numFmtId="10" fontId="12" fillId="20" borderId="86" xfId="7" applyNumberFormat="1" applyFont="1" applyFill="1" applyBorder="1" applyAlignment="1">
      <alignment horizontal="center" vertical="center"/>
    </xf>
    <xf numFmtId="10" fontId="12" fillId="0" borderId="64" xfId="5" applyNumberFormat="1" applyFont="1" applyBorder="1" applyAlignment="1">
      <alignment horizontal="center" vertical="center"/>
    </xf>
    <xf numFmtId="10" fontId="12" fillId="0" borderId="86" xfId="5" applyNumberFormat="1" applyFont="1" applyBorder="1" applyAlignment="1">
      <alignment horizontal="center" vertical="center"/>
    </xf>
    <xf numFmtId="10" fontId="46" fillId="0" borderId="64" xfId="7" applyNumberFormat="1" applyFont="1" applyBorder="1" applyAlignment="1">
      <alignment horizontal="center" vertical="center"/>
    </xf>
    <xf numFmtId="10" fontId="46" fillId="0" borderId="86" xfId="7" applyNumberFormat="1" applyFont="1" applyBorder="1" applyAlignment="1">
      <alignment horizontal="center" vertical="center"/>
    </xf>
    <xf numFmtId="10" fontId="13" fillId="20" borderId="65" xfId="7" applyNumberFormat="1" applyFont="1" applyFill="1" applyBorder="1" applyAlignment="1">
      <alignment horizontal="center" vertical="center"/>
    </xf>
    <xf numFmtId="10" fontId="13" fillId="20" borderId="88" xfId="7" applyNumberFormat="1" applyFont="1" applyFill="1" applyBorder="1" applyAlignment="1">
      <alignment horizontal="center" vertical="center"/>
    </xf>
    <xf numFmtId="10" fontId="13" fillId="20" borderId="66" xfId="7" applyNumberFormat="1" applyFont="1" applyFill="1" applyBorder="1" applyAlignment="1">
      <alignment horizontal="center" vertical="center"/>
    </xf>
    <xf numFmtId="10" fontId="13" fillId="20" borderId="89" xfId="7" applyNumberFormat="1" applyFont="1" applyFill="1" applyBorder="1" applyAlignment="1">
      <alignment horizontal="center" vertical="center"/>
    </xf>
    <xf numFmtId="0" fontId="12" fillId="20" borderId="64" xfId="1" applyFont="1" applyFill="1" applyBorder="1" applyAlignment="1">
      <alignment horizontal="left" vertical="center" wrapText="1"/>
    </xf>
    <xf numFmtId="0" fontId="12" fillId="20" borderId="7" xfId="1" applyFont="1" applyFill="1" applyBorder="1" applyAlignment="1">
      <alignment horizontal="left" vertical="center" wrapText="1"/>
    </xf>
    <xf numFmtId="0" fontId="12" fillId="20" borderId="86" xfId="1" applyFont="1" applyFill="1" applyBorder="1" applyAlignment="1">
      <alignment horizontal="left" vertical="center" wrapText="1"/>
    </xf>
    <xf numFmtId="10" fontId="13" fillId="20" borderId="85" xfId="7" applyNumberFormat="1" applyFont="1" applyFill="1" applyBorder="1" applyAlignment="1">
      <alignment horizontal="center" vertical="center"/>
    </xf>
    <xf numFmtId="10" fontId="13" fillId="20" borderId="87" xfId="7" applyNumberFormat="1" applyFont="1" applyFill="1" applyBorder="1" applyAlignment="1">
      <alignment horizontal="center" vertical="center"/>
    </xf>
    <xf numFmtId="0" fontId="47" fillId="15" borderId="17" xfId="0" applyFont="1" applyFill="1" applyBorder="1" applyAlignment="1">
      <alignment horizontal="left" vertical="justify"/>
    </xf>
    <xf numFmtId="0" fontId="47" fillId="15" borderId="35" xfId="0" applyFont="1" applyFill="1" applyBorder="1" applyAlignment="1">
      <alignment horizontal="left" vertical="justify"/>
    </xf>
    <xf numFmtId="0" fontId="25" fillId="16" borderId="8" xfId="0" applyFont="1" applyFill="1" applyBorder="1" applyAlignment="1">
      <alignment horizontal="left" vertical="justify" wrapText="1"/>
    </xf>
    <xf numFmtId="0" fontId="25" fillId="16" borderId="10" xfId="0" applyFont="1" applyFill="1" applyBorder="1" applyAlignment="1">
      <alignment horizontal="left" vertical="justify"/>
    </xf>
    <xf numFmtId="0" fontId="25" fillId="16" borderId="44" xfId="0" applyFont="1" applyFill="1" applyBorder="1" applyAlignment="1">
      <alignment horizontal="left" vertical="justify"/>
    </xf>
    <xf numFmtId="0" fontId="25" fillId="16" borderId="11" xfId="0" applyFont="1" applyFill="1" applyBorder="1" applyAlignment="1">
      <alignment horizontal="left" vertical="justify"/>
    </xf>
    <xf numFmtId="0" fontId="25" fillId="16" borderId="3" xfId="0" applyFont="1" applyFill="1" applyBorder="1" applyAlignment="1">
      <alignment horizontal="left" vertical="justify"/>
    </xf>
    <xf numFmtId="0" fontId="25" fillId="16" borderId="67" xfId="0" applyFont="1" applyFill="1" applyBorder="1" applyAlignment="1">
      <alignment horizontal="left" vertical="justify"/>
    </xf>
    <xf numFmtId="0" fontId="25" fillId="8" borderId="22" xfId="0" applyFont="1" applyFill="1" applyBorder="1" applyAlignment="1">
      <alignment horizontal="left" vertical="center"/>
    </xf>
    <xf numFmtId="0" fontId="25" fillId="8" borderId="15" xfId="0" applyFont="1" applyFill="1" applyBorder="1" applyAlignment="1">
      <alignment horizontal="left" vertical="center"/>
    </xf>
    <xf numFmtId="0" fontId="26" fillId="8" borderId="22" xfId="0" applyFont="1" applyFill="1" applyBorder="1" applyAlignment="1">
      <alignment horizontal="right" vertical="center"/>
    </xf>
    <xf numFmtId="0" fontId="26" fillId="8" borderId="14" xfId="0" applyFont="1" applyFill="1" applyBorder="1" applyAlignment="1">
      <alignment horizontal="right" vertical="center"/>
    </xf>
    <xf numFmtId="0" fontId="26" fillId="8" borderId="15" xfId="0" applyFont="1" applyFill="1" applyBorder="1" applyAlignment="1">
      <alignment horizontal="right" vertical="center"/>
    </xf>
    <xf numFmtId="0" fontId="26" fillId="16" borderId="31" xfId="0" applyFont="1" applyFill="1" applyBorder="1" applyAlignment="1">
      <alignment horizontal="center"/>
    </xf>
    <xf numFmtId="0" fontId="26" fillId="16" borderId="30" xfId="0" applyFont="1" applyFill="1" applyBorder="1" applyAlignment="1">
      <alignment horizontal="center"/>
    </xf>
    <xf numFmtId="0" fontId="26" fillId="0" borderId="31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/>
    </xf>
    <xf numFmtId="0" fontId="26" fillId="0" borderId="15" xfId="0" applyFont="1" applyBorder="1" applyAlignment="1">
      <alignment horizontal="center"/>
    </xf>
    <xf numFmtId="0" fontId="25" fillId="0" borderId="22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5" fillId="0" borderId="58" xfId="0" applyFont="1" applyBorder="1" applyAlignment="1">
      <alignment horizontal="center"/>
    </xf>
    <xf numFmtId="2" fontId="25" fillId="8" borderId="22" xfId="0" applyNumberFormat="1" applyFont="1" applyFill="1" applyBorder="1" applyAlignment="1">
      <alignment horizontal="center"/>
    </xf>
    <xf numFmtId="2" fontId="25" fillId="8" borderId="15" xfId="0" applyNumberFormat="1" applyFont="1" applyFill="1" applyBorder="1" applyAlignment="1">
      <alignment horizontal="center"/>
    </xf>
    <xf numFmtId="0" fontId="26" fillId="0" borderId="23" xfId="0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26" fillId="0" borderId="4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26" fillId="0" borderId="8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58" fillId="0" borderId="31" xfId="0" applyFont="1" applyBorder="1" applyAlignment="1">
      <alignment horizontal="center" vertical="center" wrapText="1"/>
    </xf>
    <xf numFmtId="0" fontId="58" fillId="0" borderId="30" xfId="0" applyFont="1" applyBorder="1" applyAlignment="1">
      <alignment horizontal="center" vertical="center" wrapText="1"/>
    </xf>
    <xf numFmtId="0" fontId="25" fillId="16" borderId="10" xfId="0" applyFont="1" applyFill="1" applyBorder="1" applyAlignment="1">
      <alignment horizontal="left" vertical="justify" wrapText="1"/>
    </xf>
    <xf numFmtId="0" fontId="25" fillId="16" borderId="44" xfId="0" applyFont="1" applyFill="1" applyBorder="1" applyAlignment="1">
      <alignment horizontal="left" vertical="justify" wrapText="1"/>
    </xf>
    <xf numFmtId="0" fontId="25" fillId="16" borderId="11" xfId="0" applyFont="1" applyFill="1" applyBorder="1" applyAlignment="1">
      <alignment horizontal="left" vertical="justify" wrapText="1"/>
    </xf>
    <xf numFmtId="0" fontId="25" fillId="16" borderId="3" xfId="0" applyFont="1" applyFill="1" applyBorder="1" applyAlignment="1">
      <alignment horizontal="left" vertical="justify" wrapText="1"/>
    </xf>
    <xf numFmtId="0" fontId="25" fillId="16" borderId="67" xfId="0" applyFont="1" applyFill="1" applyBorder="1" applyAlignment="1">
      <alignment horizontal="left" vertical="justify" wrapText="1"/>
    </xf>
    <xf numFmtId="0" fontId="25" fillId="8" borderId="22" xfId="0" applyFont="1" applyFill="1" applyBorder="1" applyAlignment="1">
      <alignment horizontal="left" vertical="center" wrapText="1"/>
    </xf>
    <xf numFmtId="0" fontId="25" fillId="8" borderId="14" xfId="0" applyFont="1" applyFill="1" applyBorder="1" applyAlignment="1">
      <alignment horizontal="left" vertical="center" wrapText="1"/>
    </xf>
    <xf numFmtId="0" fontId="25" fillId="8" borderId="14" xfId="0" applyFont="1" applyFill="1" applyBorder="1" applyAlignment="1">
      <alignment horizontal="left" vertical="center"/>
    </xf>
    <xf numFmtId="0" fontId="25" fillId="0" borderId="31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6" fillId="8" borderId="22" xfId="0" applyFont="1" applyFill="1" applyBorder="1" applyAlignment="1">
      <alignment horizontal="center" vertical="center"/>
    </xf>
    <xf numFmtId="0" fontId="26" fillId="8" borderId="14" xfId="0" applyFont="1" applyFill="1" applyBorder="1" applyAlignment="1">
      <alignment horizontal="center" vertical="center"/>
    </xf>
    <xf numFmtId="0" fontId="26" fillId="8" borderId="58" xfId="0" applyFont="1" applyFill="1" applyBorder="1" applyAlignment="1">
      <alignment horizontal="center" vertical="center"/>
    </xf>
    <xf numFmtId="0" fontId="25" fillId="8" borderId="15" xfId="0" applyFont="1" applyFill="1" applyBorder="1" applyAlignment="1">
      <alignment horizontal="left" vertical="center" wrapText="1"/>
    </xf>
    <xf numFmtId="0" fontId="25" fillId="16" borderId="8" xfId="0" quotePrefix="1" applyFont="1" applyFill="1" applyBorder="1" applyAlignment="1">
      <alignment horizontal="left" vertical="justify" wrapText="1"/>
    </xf>
    <xf numFmtId="0" fontId="25" fillId="16" borderId="8" xfId="0" applyFont="1" applyFill="1" applyBorder="1" applyAlignment="1">
      <alignment horizontal="left" vertical="center" wrapText="1"/>
    </xf>
    <xf numFmtId="0" fontId="25" fillId="16" borderId="10" xfId="0" applyFont="1" applyFill="1" applyBorder="1" applyAlignment="1">
      <alignment horizontal="left" vertical="center"/>
    </xf>
    <xf numFmtId="0" fontId="25" fillId="16" borderId="44" xfId="0" applyFont="1" applyFill="1" applyBorder="1" applyAlignment="1">
      <alignment horizontal="left" vertical="center"/>
    </xf>
    <xf numFmtId="0" fontId="25" fillId="16" borderId="11" xfId="0" applyFont="1" applyFill="1" applyBorder="1" applyAlignment="1">
      <alignment horizontal="left" vertical="center"/>
    </xf>
    <xf numFmtId="0" fontId="25" fillId="16" borderId="3" xfId="0" applyFont="1" applyFill="1" applyBorder="1" applyAlignment="1">
      <alignment horizontal="left" vertical="center"/>
    </xf>
    <xf numFmtId="0" fontId="25" fillId="16" borderId="67" xfId="0" applyFont="1" applyFill="1" applyBorder="1" applyAlignment="1">
      <alignment horizontal="left" vertical="center"/>
    </xf>
    <xf numFmtId="0" fontId="26" fillId="0" borderId="68" xfId="0" applyFont="1" applyBorder="1" applyAlignment="1">
      <alignment horizontal="center" vertical="center"/>
    </xf>
    <xf numFmtId="0" fontId="26" fillId="0" borderId="47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/>
    </xf>
    <xf numFmtId="0" fontId="26" fillId="0" borderId="58" xfId="0" applyFont="1" applyBorder="1" applyAlignment="1">
      <alignment horizontal="center"/>
    </xf>
    <xf numFmtId="0" fontId="25" fillId="16" borderId="8" xfId="0" applyFont="1" applyFill="1" applyBorder="1" applyAlignment="1">
      <alignment vertical="center" wrapText="1"/>
    </xf>
    <xf numFmtId="0" fontId="25" fillId="16" borderId="10" xfId="0" applyFont="1" applyFill="1" applyBorder="1" applyAlignment="1">
      <alignment vertical="center" wrapText="1"/>
    </xf>
    <xf numFmtId="0" fontId="25" fillId="16" borderId="44" xfId="0" applyFont="1" applyFill="1" applyBorder="1" applyAlignment="1">
      <alignment vertical="center" wrapText="1"/>
    </xf>
    <xf numFmtId="0" fontId="25" fillId="16" borderId="11" xfId="0" applyFont="1" applyFill="1" applyBorder="1" applyAlignment="1">
      <alignment vertical="center" wrapText="1"/>
    </xf>
    <xf numFmtId="0" fontId="25" fillId="16" borderId="3" xfId="0" applyFont="1" applyFill="1" applyBorder="1" applyAlignment="1">
      <alignment vertical="center" wrapText="1"/>
    </xf>
    <xf numFmtId="0" fontId="25" fillId="16" borderId="67" xfId="0" applyFont="1" applyFill="1" applyBorder="1" applyAlignment="1">
      <alignment vertical="center" wrapText="1"/>
    </xf>
    <xf numFmtId="49" fontId="26" fillId="0" borderId="22" xfId="0" applyNumberFormat="1" applyFont="1" applyBorder="1" applyAlignment="1">
      <alignment horizontal="left" vertical="center"/>
    </xf>
    <xf numFmtId="49" fontId="26" fillId="0" borderId="14" xfId="0" applyNumberFormat="1" applyFont="1" applyBorder="1" applyAlignment="1">
      <alignment horizontal="left" vertical="center"/>
    </xf>
    <xf numFmtId="49" fontId="26" fillId="0" borderId="58" xfId="0" applyNumberFormat="1" applyFont="1" applyBorder="1" applyAlignment="1">
      <alignment horizontal="left" vertical="center"/>
    </xf>
    <xf numFmtId="0" fontId="47" fillId="11" borderId="69" xfId="0" applyFont="1" applyFill="1" applyBorder="1" applyAlignment="1">
      <alignment horizontal="left" vertical="center"/>
    </xf>
    <xf numFmtId="0" fontId="47" fillId="11" borderId="42" xfId="0" applyFont="1" applyFill="1" applyBorder="1" applyAlignment="1">
      <alignment horizontal="left" vertical="center"/>
    </xf>
    <xf numFmtId="0" fontId="47" fillId="11" borderId="61" xfId="0" applyFont="1" applyFill="1" applyBorder="1" applyAlignment="1">
      <alignment horizontal="left" vertical="center"/>
    </xf>
    <xf numFmtId="0" fontId="29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wrapText="1"/>
    </xf>
    <xf numFmtId="0" fontId="57" fillId="24" borderId="32" xfId="0" applyFont="1" applyFill="1" applyBorder="1" applyAlignment="1">
      <alignment horizontal="center" vertical="center"/>
    </xf>
    <xf numFmtId="0" fontId="57" fillId="24" borderId="59" xfId="0" applyFont="1" applyFill="1" applyBorder="1" applyAlignment="1">
      <alignment horizontal="center" vertical="center"/>
    </xf>
    <xf numFmtId="0" fontId="57" fillId="24" borderId="33" xfId="0" applyFont="1" applyFill="1" applyBorder="1" applyAlignment="1">
      <alignment horizontal="center" vertical="center"/>
    </xf>
    <xf numFmtId="0" fontId="57" fillId="24" borderId="34" xfId="0" applyFont="1" applyFill="1" applyBorder="1" applyAlignment="1">
      <alignment horizontal="center" vertical="center"/>
    </xf>
    <xf numFmtId="0" fontId="57" fillId="24" borderId="17" xfId="0" applyFont="1" applyFill="1" applyBorder="1" applyAlignment="1">
      <alignment horizontal="center" vertical="center"/>
    </xf>
    <xf numFmtId="0" fontId="57" fillId="24" borderId="35" xfId="0" applyFont="1" applyFill="1" applyBorder="1" applyAlignment="1">
      <alignment horizontal="center" vertical="center"/>
    </xf>
    <xf numFmtId="0" fontId="25" fillId="8" borderId="13" xfId="0" applyFont="1" applyFill="1" applyBorder="1" applyAlignment="1">
      <alignment horizontal="left"/>
    </xf>
    <xf numFmtId="0" fontId="25" fillId="8" borderId="14" xfId="0" applyFont="1" applyFill="1" applyBorder="1" applyAlignment="1">
      <alignment horizontal="left"/>
    </xf>
    <xf numFmtId="0" fontId="25" fillId="8" borderId="58" xfId="0" applyFont="1" applyFill="1" applyBorder="1" applyAlignment="1">
      <alignment horizontal="left"/>
    </xf>
    <xf numFmtId="0" fontId="25" fillId="0" borderId="43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5" fillId="0" borderId="67" xfId="0" applyFont="1" applyBorder="1" applyAlignment="1">
      <alignment horizontal="center"/>
    </xf>
    <xf numFmtId="0" fontId="25" fillId="8" borderId="13" xfId="0" applyFont="1" applyFill="1" applyBorder="1" applyAlignment="1">
      <alignment horizontal="left" vertical="center"/>
    </xf>
    <xf numFmtId="0" fontId="51" fillId="0" borderId="76" xfId="2" applyNumberFormat="1" applyFont="1" applyFill="1" applyBorder="1" applyAlignment="1" applyProtection="1">
      <alignment horizontal="left" vertical="center" wrapText="1"/>
    </xf>
    <xf numFmtId="0" fontId="51" fillId="0" borderId="76" xfId="2" applyNumberFormat="1" applyFont="1" applyFill="1" applyBorder="1" applyAlignment="1" applyProtection="1">
      <alignment horizontal="left" vertical="center" wrapText="1"/>
      <protection locked="0"/>
    </xf>
    <xf numFmtId="0" fontId="51" fillId="0" borderId="77" xfId="2" applyNumberFormat="1" applyFont="1" applyFill="1" applyBorder="1" applyAlignment="1" applyProtection="1">
      <alignment horizontal="left" vertical="center" wrapText="1"/>
    </xf>
    <xf numFmtId="0" fontId="51" fillId="0" borderId="77" xfId="2" applyNumberFormat="1" applyFont="1" applyFill="1" applyBorder="1" applyAlignment="1" applyProtection="1">
      <alignment horizontal="left" vertical="center" wrapText="1"/>
      <protection locked="0"/>
    </xf>
    <xf numFmtId="4" fontId="50" fillId="18" borderId="97" xfId="2" applyNumberFormat="1" applyFont="1" applyFill="1" applyBorder="1" applyAlignment="1" applyProtection="1">
      <alignment horizontal="center" vertical="center" wrapText="1"/>
    </xf>
    <xf numFmtId="4" fontId="50" fillId="18" borderId="102" xfId="2" applyNumberFormat="1" applyFont="1" applyFill="1" applyBorder="1" applyAlignment="1" applyProtection="1">
      <alignment horizontal="center" vertical="center" wrapText="1"/>
    </xf>
    <xf numFmtId="4" fontId="50" fillId="18" borderId="98" xfId="2" applyNumberFormat="1" applyFont="1" applyFill="1" applyBorder="1" applyAlignment="1" applyProtection="1">
      <alignment horizontal="center" vertical="center" wrapText="1"/>
    </xf>
    <xf numFmtId="4" fontId="50" fillId="18" borderId="96" xfId="2" applyNumberFormat="1" applyFont="1" applyFill="1" applyBorder="1" applyAlignment="1" applyProtection="1">
      <alignment horizontal="center" vertical="center" wrapText="1"/>
    </xf>
    <xf numFmtId="216" fontId="51" fillId="0" borderId="95" xfId="2" applyNumberFormat="1" applyFont="1" applyFill="1" applyBorder="1" applyAlignment="1" applyProtection="1">
      <alignment horizontal="center" vertical="center" wrapText="1"/>
    </xf>
    <xf numFmtId="216" fontId="51" fillId="0" borderId="101" xfId="2" applyNumberFormat="1" applyFont="1" applyFill="1" applyBorder="1" applyAlignment="1" applyProtection="1">
      <alignment horizontal="center" vertical="center" wrapText="1"/>
    </xf>
    <xf numFmtId="173" fontId="50" fillId="0" borderId="95" xfId="8" applyFont="1" applyFill="1" applyBorder="1" applyAlignment="1" applyProtection="1">
      <alignment horizontal="center" vertical="center" wrapText="1"/>
    </xf>
    <xf numFmtId="173" fontId="50" fillId="0" borderId="101" xfId="8" applyFont="1" applyFill="1" applyBorder="1" applyAlignment="1" applyProtection="1">
      <alignment horizontal="center" vertical="center" wrapText="1"/>
    </xf>
    <xf numFmtId="4" fontId="51" fillId="18" borderId="99" xfId="2" applyNumberFormat="1" applyFont="1" applyFill="1" applyBorder="1" applyAlignment="1" applyProtection="1">
      <alignment horizontal="right" vertical="center" wrapText="1"/>
    </xf>
    <xf numFmtId="4" fontId="51" fillId="18" borderId="99" xfId="2" applyNumberFormat="1" applyFont="1" applyFill="1" applyBorder="1" applyAlignment="1" applyProtection="1">
      <alignment horizontal="right" vertical="center" wrapText="1"/>
      <protection locked="0"/>
    </xf>
    <xf numFmtId="4" fontId="51" fillId="0" borderId="77" xfId="2" applyNumberFormat="1" applyFont="1" applyFill="1" applyBorder="1" applyAlignment="1" applyProtection="1">
      <alignment vertical="center" wrapText="1"/>
    </xf>
    <xf numFmtId="4" fontId="51" fillId="0" borderId="77" xfId="2" applyNumberFormat="1" applyFont="1" applyFill="1" applyBorder="1" applyAlignment="1" applyProtection="1">
      <alignment vertical="center" wrapText="1"/>
      <protection locked="0"/>
    </xf>
    <xf numFmtId="0" fontId="35" fillId="0" borderId="18" xfId="0" applyFont="1" applyBorder="1" applyAlignment="1">
      <alignment horizontal="center"/>
    </xf>
    <xf numFmtId="0" fontId="33" fillId="0" borderId="19" xfId="0" applyFont="1" applyBorder="1" applyAlignment="1">
      <alignment horizontal="center"/>
    </xf>
    <xf numFmtId="0" fontId="33" fillId="0" borderId="20" xfId="0" applyFont="1" applyBorder="1" applyAlignment="1">
      <alignment horizontal="center"/>
    </xf>
    <xf numFmtId="4" fontId="51" fillId="0" borderId="78" xfId="2" applyNumberFormat="1" applyFont="1" applyFill="1" applyBorder="1" applyAlignment="1" applyProtection="1">
      <alignment vertical="center" wrapText="1"/>
      <protection locked="0"/>
    </xf>
    <xf numFmtId="4" fontId="51" fillId="0" borderId="79" xfId="2" applyNumberFormat="1" applyFont="1" applyFill="1" applyBorder="1" applyAlignment="1" applyProtection="1">
      <alignment vertical="center" wrapText="1"/>
      <protection locked="0"/>
    </xf>
    <xf numFmtId="0" fontId="51" fillId="0" borderId="78" xfId="2" applyNumberFormat="1" applyFont="1" applyFill="1" applyBorder="1" applyAlignment="1" applyProtection="1">
      <alignment horizontal="left" vertical="center" wrapText="1"/>
      <protection locked="0"/>
    </xf>
    <xf numFmtId="0" fontId="51" fillId="0" borderId="79" xfId="2" applyNumberFormat="1" applyFont="1" applyFill="1" applyBorder="1" applyAlignment="1" applyProtection="1">
      <alignment horizontal="left" vertical="center" wrapText="1"/>
      <protection locked="0"/>
    </xf>
    <xf numFmtId="0" fontId="33" fillId="0" borderId="16" xfId="0" applyFont="1" applyBorder="1" applyAlignment="1">
      <alignment horizontal="left"/>
    </xf>
    <xf numFmtId="0" fontId="33" fillId="0" borderId="0" xfId="0" applyFont="1" applyBorder="1" applyAlignment="1">
      <alignment horizontal="left"/>
    </xf>
    <xf numFmtId="0" fontId="33" fillId="0" borderId="21" xfId="0" applyFont="1" applyBorder="1" applyAlignment="1">
      <alignment horizontal="left"/>
    </xf>
    <xf numFmtId="0" fontId="33" fillId="0" borderId="83" xfId="0" applyFont="1" applyBorder="1" applyAlignment="1">
      <alignment horizontal="left"/>
    </xf>
    <xf numFmtId="0" fontId="33" fillId="0" borderId="81" xfId="0" applyFont="1" applyBorder="1" applyAlignment="1">
      <alignment horizontal="left"/>
    </xf>
    <xf numFmtId="0" fontId="33" fillId="0" borderId="96" xfId="0" applyFont="1" applyBorder="1" applyAlignment="1">
      <alignment horizontal="left"/>
    </xf>
    <xf numFmtId="0" fontId="51" fillId="18" borderId="77" xfId="2" applyNumberFormat="1" applyFont="1" applyFill="1" applyBorder="1" applyAlignment="1" applyProtection="1">
      <alignment horizontal="center" vertical="center" wrapText="1"/>
    </xf>
    <xf numFmtId="0" fontId="51" fillId="18" borderId="75" xfId="2" applyNumberFormat="1" applyFont="1" applyFill="1" applyBorder="1" applyAlignment="1" applyProtection="1">
      <alignment horizontal="center" vertical="center" wrapText="1"/>
      <protection locked="0"/>
    </xf>
    <xf numFmtId="2" fontId="33" fillId="4" borderId="22" xfId="4" applyNumberFormat="1" applyFont="1" applyFill="1" applyBorder="1" applyAlignment="1">
      <alignment horizontal="left" vertical="center"/>
    </xf>
    <xf numFmtId="2" fontId="33" fillId="4" borderId="14" xfId="4" applyNumberFormat="1" applyFont="1" applyFill="1" applyBorder="1" applyAlignment="1">
      <alignment horizontal="left" vertical="center"/>
    </xf>
    <xf numFmtId="2" fontId="33" fillId="4" borderId="14" xfId="4" applyNumberFormat="1" applyFont="1" applyFill="1" applyBorder="1" applyAlignment="1">
      <alignment horizontal="center" vertical="center"/>
    </xf>
    <xf numFmtId="2" fontId="33" fillId="4" borderId="15" xfId="4" applyNumberFormat="1" applyFont="1" applyFill="1" applyBorder="1" applyAlignment="1">
      <alignment horizontal="left" vertical="center"/>
    </xf>
    <xf numFmtId="3" fontId="32" fillId="5" borderId="22" xfId="4" applyFont="1" applyFill="1" applyBorder="1" applyAlignment="1">
      <alignment horizontal="center" vertical="center" wrapText="1"/>
    </xf>
    <xf numFmtId="3" fontId="32" fillId="5" borderId="14" xfId="4" applyFont="1" applyFill="1" applyBorder="1" applyAlignment="1">
      <alignment horizontal="center" vertical="center" wrapText="1"/>
    </xf>
    <xf numFmtId="3" fontId="32" fillId="5" borderId="58" xfId="4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3" fontId="33" fillId="4" borderId="14" xfId="4" applyFont="1" applyFill="1" applyBorder="1" applyAlignment="1">
      <alignment horizontal="left" vertical="center"/>
    </xf>
    <xf numFmtId="3" fontId="33" fillId="4" borderId="14" xfId="4" applyFont="1" applyFill="1" applyBorder="1" applyAlignment="1">
      <alignment horizontal="center" vertical="center"/>
    </xf>
    <xf numFmtId="3" fontId="33" fillId="4" borderId="15" xfId="4" applyFont="1" applyFill="1" applyBorder="1" applyAlignment="1">
      <alignment horizontal="center" vertical="center"/>
    </xf>
    <xf numFmtId="3" fontId="33" fillId="4" borderId="14" xfId="4" applyFont="1" applyFill="1" applyBorder="1" applyAlignment="1">
      <alignment horizontal="left" vertical="center" wrapText="1"/>
    </xf>
    <xf numFmtId="3" fontId="33" fillId="4" borderId="15" xfId="4" applyFont="1" applyFill="1" applyBorder="1" applyAlignment="1">
      <alignment horizontal="left" vertical="center" wrapText="1"/>
    </xf>
    <xf numFmtId="3" fontId="33" fillId="4" borderId="22" xfId="4" applyFont="1" applyFill="1" applyBorder="1" applyAlignment="1">
      <alignment horizontal="center" vertical="center" wrapText="1"/>
    </xf>
    <xf numFmtId="3" fontId="33" fillId="4" borderId="14" xfId="4" applyFont="1" applyFill="1" applyBorder="1" applyAlignment="1">
      <alignment horizontal="center" vertical="center" wrapText="1"/>
    </xf>
    <xf numFmtId="3" fontId="33" fillId="4" borderId="58" xfId="4" applyFont="1" applyFill="1" applyBorder="1" applyAlignment="1">
      <alignment horizontal="center" vertical="center" wrapText="1"/>
    </xf>
    <xf numFmtId="3" fontId="33" fillId="4" borderId="22" xfId="4" applyFont="1" applyFill="1" applyBorder="1" applyAlignment="1">
      <alignment horizontal="center" vertical="center"/>
    </xf>
    <xf numFmtId="3" fontId="33" fillId="4" borderId="13" xfId="4" applyFont="1" applyFill="1" applyBorder="1" applyAlignment="1">
      <alignment horizontal="center" vertical="center"/>
    </xf>
    <xf numFmtId="0" fontId="2" fillId="0" borderId="13" xfId="3" applyFont="1" applyBorder="1" applyAlignment="1">
      <alignment horizontal="center" vertical="center"/>
    </xf>
    <xf numFmtId="0" fontId="2" fillId="0" borderId="14" xfId="3" applyFont="1" applyBorder="1" applyAlignment="1">
      <alignment horizontal="center" vertical="center"/>
    </xf>
    <xf numFmtId="0" fontId="2" fillId="0" borderId="15" xfId="3" applyFont="1" applyBorder="1" applyAlignment="1">
      <alignment horizontal="center" vertical="center"/>
    </xf>
    <xf numFmtId="0" fontId="3" fillId="0" borderId="13" xfId="3" applyBorder="1" applyAlignment="1">
      <alignment horizontal="right" vertical="center"/>
    </xf>
    <xf numFmtId="0" fontId="3" fillId="0" borderId="14" xfId="3" applyBorder="1" applyAlignment="1">
      <alignment horizontal="right" vertical="center"/>
    </xf>
    <xf numFmtId="0" fontId="3" fillId="0" borderId="15" xfId="3" applyBorder="1" applyAlignment="1">
      <alignment horizontal="right" vertical="center"/>
    </xf>
    <xf numFmtId="0" fontId="3" fillId="8" borderId="13" xfId="3" applyFill="1" applyBorder="1" applyAlignment="1">
      <alignment horizontal="right" vertical="center"/>
    </xf>
    <xf numFmtId="0" fontId="3" fillId="8" borderId="15" xfId="3" applyFill="1" applyBorder="1" applyAlignment="1">
      <alignment horizontal="right" vertical="center"/>
    </xf>
    <xf numFmtId="0" fontId="3" fillId="8" borderId="14" xfId="3" applyFill="1" applyBorder="1" applyAlignment="1">
      <alignment horizontal="right" vertical="center"/>
    </xf>
    <xf numFmtId="2" fontId="3" fillId="4" borderId="13" xfId="3" applyNumberFormat="1" applyFill="1" applyBorder="1" applyAlignment="1">
      <alignment horizontal="left" vertical="center"/>
    </xf>
    <xf numFmtId="2" fontId="3" fillId="4" borderId="14" xfId="3" applyNumberFormat="1" applyFill="1" applyBorder="1" applyAlignment="1">
      <alignment horizontal="left" vertical="center"/>
    </xf>
    <xf numFmtId="2" fontId="3" fillId="4" borderId="15" xfId="3" applyNumberFormat="1" applyFill="1" applyBorder="1" applyAlignment="1">
      <alignment horizontal="left" vertical="center"/>
    </xf>
    <xf numFmtId="0" fontId="3" fillId="0" borderId="8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2" fillId="8" borderId="70" xfId="0" applyFont="1" applyFill="1" applyBorder="1" applyAlignment="1">
      <alignment horizontal="center" vertical="center"/>
    </xf>
    <xf numFmtId="0" fontId="2" fillId="8" borderId="71" xfId="0" applyFont="1" applyFill="1" applyBorder="1" applyAlignment="1">
      <alignment horizontal="center" vertical="center"/>
    </xf>
    <xf numFmtId="0" fontId="2" fillId="8" borderId="72" xfId="0" applyFont="1" applyFill="1" applyBorder="1" applyAlignment="1">
      <alignment horizontal="center" vertical="center"/>
    </xf>
    <xf numFmtId="0" fontId="24" fillId="8" borderId="73" xfId="3" applyFont="1" applyFill="1" applyBorder="1" applyAlignment="1">
      <alignment horizontal="center" vertical="center"/>
    </xf>
    <xf numFmtId="0" fontId="24" fillId="8" borderId="74" xfId="3" applyFont="1" applyFill="1" applyBorder="1" applyAlignment="1">
      <alignment horizontal="center" vertical="center"/>
    </xf>
    <xf numFmtId="0" fontId="59" fillId="8" borderId="73" xfId="3" applyFont="1" applyFill="1" applyBorder="1" applyAlignment="1">
      <alignment horizontal="center" vertical="center" wrapText="1"/>
    </xf>
    <xf numFmtId="0" fontId="59" fillId="8" borderId="62" xfId="3" applyFont="1" applyFill="1" applyBorder="1" applyAlignment="1">
      <alignment horizontal="center" vertical="center" wrapText="1"/>
    </xf>
    <xf numFmtId="0" fontId="59" fillId="8" borderId="74" xfId="3" applyFont="1" applyFill="1" applyBorder="1" applyAlignment="1">
      <alignment horizontal="center" vertical="center" wrapText="1"/>
    </xf>
    <xf numFmtId="0" fontId="2" fillId="8" borderId="13" xfId="3" applyFont="1" applyFill="1" applyBorder="1" applyAlignment="1">
      <alignment horizontal="center" vertical="center"/>
    </xf>
    <xf numFmtId="0" fontId="2" fillId="8" borderId="14" xfId="3" applyFont="1" applyFill="1" applyBorder="1" applyAlignment="1">
      <alignment horizontal="center" vertical="center"/>
    </xf>
    <xf numFmtId="0" fontId="2" fillId="8" borderId="15" xfId="3" applyFont="1" applyFill="1" applyBorder="1" applyAlignment="1">
      <alignment horizontal="center" vertical="center"/>
    </xf>
    <xf numFmtId="0" fontId="3" fillId="0" borderId="13" xfId="3" applyBorder="1" applyAlignment="1">
      <alignment horizontal="left" vertical="center" wrapText="1"/>
    </xf>
    <xf numFmtId="0" fontId="3" fillId="0" borderId="14" xfId="3" applyBorder="1" applyAlignment="1">
      <alignment horizontal="left" vertical="center" wrapText="1"/>
    </xf>
    <xf numFmtId="0" fontId="3" fillId="0" borderId="15" xfId="3" applyBorder="1" applyAlignment="1">
      <alignment horizontal="left" vertical="center" wrapText="1"/>
    </xf>
    <xf numFmtId="0" fontId="3" fillId="0" borderId="13" xfId="3" applyBorder="1" applyAlignment="1">
      <alignment horizontal="left" vertical="center"/>
    </xf>
    <xf numFmtId="0" fontId="3" fillId="0" borderId="15" xfId="3" applyBorder="1" applyAlignment="1">
      <alignment horizontal="left" vertical="center"/>
    </xf>
    <xf numFmtId="0" fontId="3" fillId="8" borderId="13" xfId="3" applyFill="1" applyBorder="1" applyAlignment="1">
      <alignment horizontal="left" vertical="center" wrapText="1"/>
    </xf>
    <xf numFmtId="0" fontId="3" fillId="8" borderId="15" xfId="3" applyFill="1" applyBorder="1" applyAlignment="1">
      <alignment horizontal="left" vertical="center" wrapText="1"/>
    </xf>
    <xf numFmtId="0" fontId="3" fillId="8" borderId="13" xfId="3" applyFill="1" applyBorder="1" applyAlignment="1">
      <alignment horizontal="center" vertical="center" wrapText="1"/>
    </xf>
    <xf numFmtId="0" fontId="3" fillId="8" borderId="15" xfId="3" applyFill="1" applyBorder="1" applyAlignment="1">
      <alignment horizontal="center" vertical="center" wrapText="1"/>
    </xf>
    <xf numFmtId="0" fontId="2" fillId="10" borderId="13" xfId="3" applyFont="1" applyFill="1" applyBorder="1" applyAlignment="1">
      <alignment horizontal="left" vertical="center"/>
    </xf>
    <xf numFmtId="0" fontId="2" fillId="10" borderId="14" xfId="3" applyFont="1" applyFill="1" applyBorder="1" applyAlignment="1">
      <alignment horizontal="left" vertical="center"/>
    </xf>
    <xf numFmtId="0" fontId="2" fillId="10" borderId="15" xfId="3" applyFont="1" applyFill="1" applyBorder="1" applyAlignment="1">
      <alignment horizontal="left" vertical="center"/>
    </xf>
    <xf numFmtId="0" fontId="24" fillId="8" borderId="13" xfId="3" applyFont="1" applyFill="1" applyBorder="1" applyAlignment="1">
      <alignment horizontal="center" vertical="center"/>
    </xf>
    <xf numFmtId="0" fontId="24" fillId="8" borderId="15" xfId="3" applyFont="1" applyFill="1" applyBorder="1" applyAlignment="1">
      <alignment horizontal="center" vertical="center"/>
    </xf>
    <xf numFmtId="0" fontId="59" fillId="8" borderId="13" xfId="3" applyFont="1" applyFill="1" applyBorder="1" applyAlignment="1">
      <alignment horizontal="center" vertical="center" wrapText="1"/>
    </xf>
    <xf numFmtId="0" fontId="59" fillId="8" borderId="14" xfId="3" applyFont="1" applyFill="1" applyBorder="1" applyAlignment="1">
      <alignment horizontal="center" vertical="center" wrapText="1"/>
    </xf>
    <xf numFmtId="0" fontId="59" fillId="8" borderId="15" xfId="3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2" fillId="10" borderId="13" xfId="3" applyFont="1" applyFill="1" applyBorder="1" applyAlignment="1">
      <alignment horizontal="center" vertical="center"/>
    </xf>
    <xf numFmtId="0" fontId="2" fillId="10" borderId="14" xfId="3" applyFont="1" applyFill="1" applyBorder="1" applyAlignment="1">
      <alignment horizontal="center" vertical="center"/>
    </xf>
    <xf numFmtId="0" fontId="2" fillId="10" borderId="15" xfId="3" applyFont="1" applyFill="1" applyBorder="1" applyAlignment="1">
      <alignment horizontal="center" vertical="center"/>
    </xf>
    <xf numFmtId="0" fontId="60" fillId="25" borderId="18" xfId="0" applyFont="1" applyFill="1" applyBorder="1" applyAlignment="1">
      <alignment horizontal="center" vertical="center"/>
    </xf>
    <xf numFmtId="0" fontId="60" fillId="25" borderId="19" xfId="0" applyFont="1" applyFill="1" applyBorder="1" applyAlignment="1">
      <alignment horizontal="center" vertical="center"/>
    </xf>
  </cellXfs>
  <cellStyles count="11">
    <cellStyle name="Normal" xfId="0" builtinId="0"/>
    <cellStyle name="Normal 10" xfId="1"/>
    <cellStyle name="Normal 2" xfId="2"/>
    <cellStyle name="Normal 2 2" xfId="3"/>
    <cellStyle name="Normal_Estrutura_de_preços_-_CODEVASF_versão10" xfId="4"/>
    <cellStyle name="Porcentagem" xfId="5" builtinId="5"/>
    <cellStyle name="Porcentagem 2" xfId="6"/>
    <cellStyle name="Porcentagem 2 2" xfId="7"/>
    <cellStyle name="Vírgula" xfId="8" builtinId="3"/>
    <cellStyle name="Vírgula 2" xfId="9"/>
    <cellStyle name="Vírgula 5" xfId="10"/>
  </cellStyles>
  <dxfs count="1"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15</xdr:row>
      <xdr:rowOff>0</xdr:rowOff>
    </xdr:from>
    <xdr:to>
      <xdr:col>33</xdr:col>
      <xdr:colOff>0</xdr:colOff>
      <xdr:row>15</xdr:row>
      <xdr:rowOff>0</xdr:rowOff>
    </xdr:to>
    <xdr:sp macro="" textlink="">
      <xdr:nvSpPr>
        <xdr:cNvPr id="31007" name="Oval 1">
          <a:extLst>
            <a:ext uri="{FF2B5EF4-FFF2-40B4-BE49-F238E27FC236}">
              <a16:creationId xmlns:a16="http://schemas.microsoft.com/office/drawing/2014/main" id="{79846516-EE54-468F-9ECB-075BA8860900}"/>
            </a:ext>
          </a:extLst>
        </xdr:cNvPr>
        <xdr:cNvSpPr>
          <a:spLocks noChangeArrowheads="1"/>
        </xdr:cNvSpPr>
      </xdr:nvSpPr>
      <xdr:spPr bwMode="auto">
        <a:xfrm>
          <a:off x="9418320" y="227838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40</xdr:col>
      <xdr:colOff>0</xdr:colOff>
      <xdr:row>15</xdr:row>
      <xdr:rowOff>0</xdr:rowOff>
    </xdr:from>
    <xdr:to>
      <xdr:col>40</xdr:col>
      <xdr:colOff>0</xdr:colOff>
      <xdr:row>15</xdr:row>
      <xdr:rowOff>0</xdr:rowOff>
    </xdr:to>
    <xdr:sp macro="" textlink="">
      <xdr:nvSpPr>
        <xdr:cNvPr id="31008" name="Desenhando 59">
          <a:extLst>
            <a:ext uri="{FF2B5EF4-FFF2-40B4-BE49-F238E27FC236}">
              <a16:creationId xmlns:a16="http://schemas.microsoft.com/office/drawing/2014/main" id="{CF96582C-72EC-4651-90E2-71DB8D854BD7}"/>
            </a:ext>
          </a:extLst>
        </xdr:cNvPr>
        <xdr:cNvSpPr>
          <a:spLocks/>
        </xdr:cNvSpPr>
      </xdr:nvSpPr>
      <xdr:spPr bwMode="auto">
        <a:xfrm>
          <a:off x="11018520" y="227838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60000 65536"/>
            <a:gd name="T9" fmla="*/ 0 60000 65536"/>
            <a:gd name="T10" fmla="*/ 0 60000 65536"/>
            <a:gd name="T11" fmla="*/ 0 60000 65536"/>
            <a:gd name="T12" fmla="*/ 0 w 16384"/>
            <a:gd name="T13" fmla="*/ 0 h 16384"/>
            <a:gd name="T14" fmla="*/ 16384 w 16384"/>
            <a:gd name="T15" fmla="*/ 16384 h 16384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6384" h="16384">
              <a:moveTo>
                <a:pt x="0" y="0"/>
              </a:moveTo>
              <a:lnTo>
                <a:pt x="16384" y="0"/>
              </a:lnTo>
              <a:lnTo>
                <a:pt x="7490" y="16384"/>
              </a:lnTo>
              <a:lnTo>
                <a:pt x="0" y="0"/>
              </a:lnTo>
              <a:close/>
            </a:path>
          </a:pathLst>
        </a:cu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15</xdr:row>
      <xdr:rowOff>0</xdr:rowOff>
    </xdr:from>
    <xdr:to>
      <xdr:col>40</xdr:col>
      <xdr:colOff>0</xdr:colOff>
      <xdr:row>15</xdr:row>
      <xdr:rowOff>0</xdr:rowOff>
    </xdr:to>
    <xdr:sp macro="" textlink="">
      <xdr:nvSpPr>
        <xdr:cNvPr id="31009" name="Rectangle 3">
          <a:extLst>
            <a:ext uri="{FF2B5EF4-FFF2-40B4-BE49-F238E27FC236}">
              <a16:creationId xmlns:a16="http://schemas.microsoft.com/office/drawing/2014/main" id="{DE96FCE4-94F2-43AE-8BEA-A4E7F80A7636}"/>
            </a:ext>
          </a:extLst>
        </xdr:cNvPr>
        <xdr:cNvSpPr>
          <a:spLocks noChangeArrowheads="1"/>
        </xdr:cNvSpPr>
      </xdr:nvSpPr>
      <xdr:spPr bwMode="auto">
        <a:xfrm>
          <a:off x="11018520" y="227838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15</xdr:row>
      <xdr:rowOff>0</xdr:rowOff>
    </xdr:from>
    <xdr:to>
      <xdr:col>37</xdr:col>
      <xdr:colOff>205744</xdr:colOff>
      <xdr:row>15</xdr:row>
      <xdr:rowOff>0</xdr:rowOff>
    </xdr:to>
    <xdr:sp macro="" textlink="" fLocksText="0">
      <xdr:nvSpPr>
        <xdr:cNvPr id="11268" name="Text Box 4">
          <a:extLst>
            <a:ext uri="{FF2B5EF4-FFF2-40B4-BE49-F238E27FC236}">
              <a16:creationId xmlns:a16="http://schemas.microsoft.com/office/drawing/2014/main" id="{29A1074A-1202-409D-A2B8-618285F40EAA}"/>
            </a:ext>
          </a:extLst>
        </xdr:cNvPr>
        <xdr:cNvSpPr txBox="1">
          <a:spLocks noChangeArrowheads="1"/>
        </xdr:cNvSpPr>
      </xdr:nvSpPr>
      <xdr:spPr bwMode="auto">
        <a:xfrm>
          <a:off x="1104900" y="1895475"/>
          <a:ext cx="770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pt-BR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  <xdr:twoCellAnchor>
    <xdr:from>
      <xdr:col>1</xdr:col>
      <xdr:colOff>60960</xdr:colOff>
      <xdr:row>1</xdr:row>
      <xdr:rowOff>7620</xdr:rowOff>
    </xdr:from>
    <xdr:to>
      <xdr:col>10</xdr:col>
      <xdr:colOff>30480</xdr:colOff>
      <xdr:row>3</xdr:row>
      <xdr:rowOff>15240</xdr:rowOff>
    </xdr:to>
    <xdr:pic>
      <xdr:nvPicPr>
        <xdr:cNvPr id="31011" name="Picture 5">
          <a:extLst>
            <a:ext uri="{FF2B5EF4-FFF2-40B4-BE49-F238E27FC236}">
              <a16:creationId xmlns:a16="http://schemas.microsoft.com/office/drawing/2014/main" id="{7BE067F5-D8EF-4FC8-AABF-185F46132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" y="91440"/>
          <a:ext cx="269748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38100</xdr:rowOff>
        </xdr:from>
        <xdr:to>
          <xdr:col>20</xdr:col>
          <xdr:colOff>114300</xdr:colOff>
          <xdr:row>16</xdr:row>
          <xdr:rowOff>45720</xdr:rowOff>
        </xdr:to>
        <xdr:sp macro="" textlink="">
          <xdr:nvSpPr>
            <xdr:cNvPr id="11270" name="OptionButton1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A9D3ADDF-3807-4CB7-937B-C0678AF67B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30480</xdr:colOff>
          <xdr:row>14</xdr:row>
          <xdr:rowOff>38100</xdr:rowOff>
        </xdr:from>
        <xdr:to>
          <xdr:col>34</xdr:col>
          <xdr:colOff>30480</xdr:colOff>
          <xdr:row>16</xdr:row>
          <xdr:rowOff>45720</xdr:rowOff>
        </xdr:to>
        <xdr:sp macro="" textlink="">
          <xdr:nvSpPr>
            <xdr:cNvPr id="11271" name="OptionButton2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B758CE86-0623-4C05-A293-9D2641875D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-beane\Usuario\Pessoal\S&#195;O%20JO&#195;O%20DA%20PONTE\GIN&#193;SIO%20POLIESPORTIVO%20-%20MINIST&#201;RIO%20DO%20ESPORTE%20-%20NOV%202008\C&#243;pia%20de%20PLANILHA%20-%20MTUR%20-individu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CI"/>
      <sheetName val="PL POUSO ALTO"/>
      <sheetName val="CRON POUSO ALTO"/>
      <sheetName val="PL BOA SORTE"/>
      <sheetName val="CRON BOA SORTE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SERVICOS PRELIMINARES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4"/>
  <dimension ref="A1:AV136"/>
  <sheetViews>
    <sheetView showGridLines="0" view="pageBreakPreview" topLeftCell="A73" zoomScaleNormal="100" zoomScaleSheetLayoutView="100" workbookViewId="0">
      <selection activeCell="AE8" sqref="AE8:AN8"/>
    </sheetView>
  </sheetViews>
  <sheetFormatPr defaultColWidth="9.109375" defaultRowHeight="12" customHeight="1"/>
  <cols>
    <col min="1" max="1" width="2.33203125" style="3" customWidth="1"/>
    <col min="2" max="2" width="4.44140625" style="2" customWidth="1"/>
    <col min="3" max="3" width="3.33203125" style="2" customWidth="1"/>
    <col min="4" max="4" width="8.44140625" style="2" customWidth="1"/>
    <col min="5" max="5" width="3.33203125" style="2" customWidth="1"/>
    <col min="6" max="6" width="6.88671875" style="2" customWidth="1"/>
    <col min="7" max="11" width="3.33203125" style="51" customWidth="1"/>
    <col min="12" max="18" width="3.33203125" style="50" customWidth="1"/>
    <col min="19" max="19" width="14.5546875" style="50" customWidth="1"/>
    <col min="20" max="21" width="3.33203125" style="3" customWidth="1"/>
    <col min="22" max="23" width="3.33203125" style="40" customWidth="1"/>
    <col min="24" max="24" width="8.44140625" style="40" customWidth="1"/>
    <col min="25" max="30" width="3.33203125" style="3" customWidth="1"/>
    <col min="31" max="31" width="5.5546875" style="3" customWidth="1"/>
    <col min="32" max="40" width="3.33203125" style="3" customWidth="1"/>
    <col min="41" max="41" width="15.44140625" style="3" customWidth="1"/>
    <col min="42" max="42" width="23.5546875" style="3" customWidth="1"/>
    <col min="43" max="43" width="14.33203125" style="3" bestFit="1" customWidth="1"/>
    <col min="44" max="44" width="3.33203125" style="3" customWidth="1"/>
    <col min="45" max="45" width="14.5546875" style="3" bestFit="1" customWidth="1"/>
    <col min="46" max="46" width="10.33203125" style="3" customWidth="1"/>
    <col min="47" max="47" width="3.33203125" style="3" customWidth="1"/>
    <col min="48" max="48" width="3.33203125" style="4" customWidth="1"/>
    <col min="49" max="49" width="7.109375" style="3" customWidth="1"/>
    <col min="50" max="57" width="3.33203125" style="3" customWidth="1"/>
    <col min="58" max="16384" width="9.109375" style="3"/>
  </cols>
  <sheetData>
    <row r="1" spans="2:48" ht="6.75" customHeight="1">
      <c r="F1" s="3"/>
      <c r="G1" s="50"/>
      <c r="H1" s="50"/>
      <c r="I1" s="50"/>
      <c r="J1" s="50"/>
      <c r="K1" s="50"/>
    </row>
    <row r="2" spans="2:48" ht="12.75" customHeight="1">
      <c r="B2" s="169"/>
      <c r="C2" s="170"/>
      <c r="D2" s="170"/>
      <c r="E2" s="170"/>
      <c r="F2" s="170"/>
      <c r="G2" s="171"/>
      <c r="H2" s="171"/>
      <c r="I2" s="171"/>
      <c r="J2" s="171"/>
      <c r="K2" s="171"/>
      <c r="L2" s="171"/>
      <c r="M2" s="172"/>
      <c r="N2" s="455" t="s">
        <v>23</v>
      </c>
      <c r="O2" s="455"/>
      <c r="P2" s="455"/>
      <c r="Q2" s="455"/>
      <c r="R2" s="455"/>
      <c r="S2" s="455"/>
      <c r="T2" s="455"/>
      <c r="U2" s="455"/>
      <c r="V2" s="455"/>
      <c r="W2" s="455"/>
      <c r="X2" s="455"/>
      <c r="Y2" s="455"/>
      <c r="Z2" s="455"/>
      <c r="AA2" s="455"/>
      <c r="AB2" s="455"/>
      <c r="AC2" s="455"/>
      <c r="AD2" s="455"/>
      <c r="AE2" s="455"/>
      <c r="AF2" s="455"/>
      <c r="AG2" s="170"/>
      <c r="AH2" s="173"/>
      <c r="AI2" s="173"/>
      <c r="AJ2" s="173"/>
      <c r="AK2" s="173"/>
      <c r="AL2" s="170"/>
      <c r="AM2" s="170"/>
      <c r="AN2" s="174"/>
    </row>
    <row r="3" spans="2:48" ht="12" customHeight="1">
      <c r="B3" s="11"/>
      <c r="C3" s="3"/>
      <c r="D3" s="3"/>
      <c r="E3" s="3"/>
      <c r="F3" s="3"/>
      <c r="G3" s="50"/>
      <c r="H3" s="50"/>
      <c r="I3" s="50"/>
      <c r="J3" s="50"/>
      <c r="K3" s="50"/>
      <c r="M3" s="175"/>
      <c r="N3" s="456"/>
      <c r="O3" s="456"/>
      <c r="P3" s="456"/>
      <c r="Q3" s="456"/>
      <c r="R3" s="456"/>
      <c r="S3" s="456"/>
      <c r="T3" s="456"/>
      <c r="U3" s="456"/>
      <c r="V3" s="456"/>
      <c r="W3" s="456"/>
      <c r="X3" s="456"/>
      <c r="Y3" s="456"/>
      <c r="Z3" s="456"/>
      <c r="AA3" s="456"/>
      <c r="AB3" s="456"/>
      <c r="AC3" s="456"/>
      <c r="AD3" s="456"/>
      <c r="AE3" s="456"/>
      <c r="AF3" s="456"/>
      <c r="AG3" s="39"/>
      <c r="AH3" s="39"/>
      <c r="AI3" s="39"/>
      <c r="AJ3" s="39"/>
      <c r="AK3" s="39"/>
      <c r="AL3" s="39"/>
      <c r="AM3" s="39"/>
      <c r="AN3" s="176"/>
    </row>
    <row r="4" spans="2:48" ht="4.5" customHeight="1">
      <c r="B4" s="11"/>
      <c r="C4" s="3"/>
      <c r="D4" s="3"/>
      <c r="E4" s="3"/>
      <c r="F4" s="3"/>
      <c r="G4" s="50"/>
      <c r="H4" s="50"/>
      <c r="I4" s="175"/>
      <c r="J4" s="50"/>
      <c r="K4" s="50"/>
      <c r="AN4" s="7"/>
    </row>
    <row r="5" spans="2:48" ht="13.5" customHeight="1">
      <c r="B5" s="469"/>
      <c r="C5" s="470"/>
      <c r="D5" s="470"/>
      <c r="E5" s="470"/>
      <c r="F5" s="470"/>
      <c r="G5" s="470"/>
      <c r="H5" s="470"/>
      <c r="I5" s="470"/>
      <c r="J5" s="470"/>
      <c r="K5" s="470"/>
      <c r="L5" s="470"/>
      <c r="M5" s="470"/>
      <c r="N5" s="470"/>
      <c r="O5" s="470"/>
      <c r="P5" s="470"/>
      <c r="Q5" s="470"/>
      <c r="R5" s="470"/>
      <c r="S5" s="470"/>
      <c r="T5" s="470"/>
      <c r="U5" s="470"/>
      <c r="V5" s="470"/>
      <c r="W5" s="470"/>
      <c r="X5" s="470"/>
      <c r="Y5" s="470"/>
      <c r="Z5" s="5"/>
      <c r="AA5" s="5"/>
      <c r="AB5" s="5"/>
      <c r="AC5" s="5"/>
      <c r="AD5" s="5"/>
      <c r="AE5" s="457" t="s">
        <v>22</v>
      </c>
      <c r="AF5" s="457"/>
      <c r="AG5" s="457"/>
      <c r="AH5" s="457"/>
      <c r="AI5" s="457"/>
      <c r="AJ5" s="457"/>
      <c r="AK5" s="457"/>
      <c r="AL5" s="457"/>
      <c r="AM5" s="457"/>
      <c r="AN5" s="458"/>
    </row>
    <row r="6" spans="2:48" ht="5.25" customHeight="1">
      <c r="B6" s="177"/>
      <c r="C6" s="1"/>
      <c r="D6" s="1"/>
      <c r="E6" s="1"/>
      <c r="F6" s="1"/>
      <c r="G6" s="178"/>
      <c r="H6" s="178"/>
      <c r="I6" s="178"/>
      <c r="J6" s="178"/>
      <c r="K6" s="178"/>
      <c r="L6" s="179"/>
      <c r="AN6" s="7"/>
    </row>
    <row r="7" spans="2:48" ht="12" customHeight="1">
      <c r="B7" s="200" t="s">
        <v>0</v>
      </c>
      <c r="J7" s="50"/>
      <c r="K7" s="50"/>
      <c r="X7" s="41"/>
      <c r="Y7" s="2"/>
      <c r="Z7" s="2"/>
      <c r="AA7" s="2"/>
      <c r="AB7" s="2"/>
      <c r="AE7" s="6" t="s">
        <v>2</v>
      </c>
      <c r="AN7" s="7"/>
    </row>
    <row r="8" spans="2:48" ht="14.1" customHeight="1">
      <c r="B8" s="438" t="s">
        <v>250</v>
      </c>
      <c r="C8" s="439"/>
      <c r="D8" s="439"/>
      <c r="E8" s="439"/>
      <c r="F8" s="439"/>
      <c r="G8" s="439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  <c r="T8" s="439"/>
      <c r="U8" s="439"/>
      <c r="V8" s="439"/>
      <c r="W8" s="439"/>
      <c r="X8" s="439"/>
      <c r="Y8" s="439"/>
      <c r="Z8" s="439"/>
      <c r="AA8" s="439"/>
      <c r="AB8" s="439"/>
      <c r="AC8" s="439"/>
      <c r="AD8" s="440"/>
      <c r="AE8" s="430" t="s">
        <v>286</v>
      </c>
      <c r="AF8" s="431"/>
      <c r="AG8" s="431"/>
      <c r="AH8" s="431"/>
      <c r="AI8" s="431"/>
      <c r="AJ8" s="431"/>
      <c r="AK8" s="431"/>
      <c r="AL8" s="431"/>
      <c r="AM8" s="431"/>
      <c r="AN8" s="432"/>
    </row>
    <row r="9" spans="2:48" s="9" customFormat="1" ht="5.25" customHeight="1">
      <c r="B9" s="180"/>
      <c r="C9" s="8"/>
      <c r="D9" s="8"/>
      <c r="E9" s="8"/>
      <c r="F9" s="8"/>
      <c r="G9" s="51"/>
      <c r="H9" s="51"/>
      <c r="I9" s="51"/>
      <c r="J9" s="51"/>
      <c r="K9" s="51"/>
      <c r="L9" s="50"/>
      <c r="M9" s="50"/>
      <c r="N9" s="50"/>
      <c r="O9" s="50"/>
      <c r="P9" s="50"/>
      <c r="Q9" s="50"/>
      <c r="R9" s="50"/>
      <c r="S9" s="50"/>
      <c r="V9" s="43"/>
      <c r="W9" s="43"/>
      <c r="X9" s="43"/>
      <c r="AN9" s="181"/>
      <c r="AV9" s="10"/>
    </row>
    <row r="10" spans="2:48" ht="12" customHeight="1">
      <c r="B10" s="6" t="s">
        <v>12</v>
      </c>
      <c r="F10" s="3"/>
      <c r="G10" s="50"/>
      <c r="H10" s="50"/>
      <c r="I10" s="50"/>
      <c r="J10" s="50"/>
      <c r="K10" s="50"/>
      <c r="X10" s="42" t="s">
        <v>10</v>
      </c>
      <c r="Z10" s="2"/>
      <c r="AA10" s="2"/>
      <c r="AB10" s="2"/>
      <c r="AC10" s="2"/>
      <c r="AD10" s="2"/>
      <c r="AF10" s="2"/>
      <c r="AG10" s="12"/>
      <c r="AL10" s="13"/>
      <c r="AM10" s="11" t="s">
        <v>11</v>
      </c>
      <c r="AN10" s="14"/>
    </row>
    <row r="11" spans="2:48" ht="14.1" customHeight="1">
      <c r="B11" s="441" t="s">
        <v>242</v>
      </c>
      <c r="C11" s="442"/>
      <c r="D11" s="442"/>
      <c r="E11" s="442"/>
      <c r="F11" s="442"/>
      <c r="G11" s="442"/>
      <c r="H11" s="442"/>
      <c r="I11" s="442"/>
      <c r="J11" s="442"/>
      <c r="K11" s="442"/>
      <c r="L11" s="442"/>
      <c r="M11" s="442"/>
      <c r="N11" s="442"/>
      <c r="O11" s="442"/>
      <c r="P11" s="442"/>
      <c r="Q11" s="442"/>
      <c r="R11" s="442"/>
      <c r="S11" s="442"/>
      <c r="T11" s="442"/>
      <c r="U11" s="442"/>
      <c r="V11" s="442"/>
      <c r="W11" s="443"/>
      <c r="X11" s="441" t="s">
        <v>251</v>
      </c>
      <c r="Y11" s="442"/>
      <c r="Z11" s="442"/>
      <c r="AA11" s="442"/>
      <c r="AB11" s="442"/>
      <c r="AC11" s="442"/>
      <c r="AD11" s="442"/>
      <c r="AE11" s="442"/>
      <c r="AF11" s="442"/>
      <c r="AG11" s="442"/>
      <c r="AH11" s="442"/>
      <c r="AI11" s="442"/>
      <c r="AJ11" s="442"/>
      <c r="AK11" s="442"/>
      <c r="AL11" s="443"/>
      <c r="AM11" s="436" t="s">
        <v>8</v>
      </c>
      <c r="AN11" s="437"/>
    </row>
    <row r="12" spans="2:48" s="9" customFormat="1" ht="38.25" customHeight="1">
      <c r="B12" s="180"/>
      <c r="C12" s="8"/>
      <c r="D12" s="8"/>
      <c r="E12" s="8"/>
      <c r="F12" s="8"/>
      <c r="G12" s="51"/>
      <c r="H12" s="51"/>
      <c r="I12" s="51"/>
      <c r="J12" s="51"/>
      <c r="K12" s="51"/>
      <c r="L12" s="50"/>
      <c r="M12" s="50"/>
      <c r="N12" s="50"/>
      <c r="O12" s="50"/>
      <c r="P12" s="50"/>
      <c r="Q12" s="50"/>
      <c r="R12" s="50"/>
      <c r="S12" s="50"/>
      <c r="V12" s="43"/>
      <c r="W12" s="43"/>
      <c r="X12" s="43"/>
      <c r="AL12" s="3"/>
      <c r="AM12" s="3"/>
      <c r="AN12" s="7"/>
      <c r="AO12" s="104"/>
      <c r="AV12" s="10"/>
    </row>
    <row r="13" spans="2:48" ht="12" customHeight="1">
      <c r="B13" s="11" t="s">
        <v>9</v>
      </c>
      <c r="C13" s="3"/>
      <c r="D13" s="3"/>
      <c r="E13" s="3"/>
      <c r="J13" s="50"/>
      <c r="K13" s="50"/>
      <c r="X13" s="42" t="s">
        <v>17</v>
      </c>
      <c r="AA13" s="2"/>
      <c r="AG13" s="6" t="s">
        <v>1</v>
      </c>
      <c r="AJ13" s="2"/>
      <c r="AN13" s="7"/>
    </row>
    <row r="14" spans="2:48" ht="14.1" customHeight="1">
      <c r="B14" s="441" t="s">
        <v>93</v>
      </c>
      <c r="C14" s="442"/>
      <c r="D14" s="442"/>
      <c r="E14" s="442"/>
      <c r="F14" s="442"/>
      <c r="G14" s="442"/>
      <c r="H14" s="442"/>
      <c r="I14" s="442"/>
      <c r="J14" s="442"/>
      <c r="K14" s="442"/>
      <c r="L14" s="442"/>
      <c r="M14" s="442"/>
      <c r="N14" s="442"/>
      <c r="O14" s="442"/>
      <c r="P14" s="442"/>
      <c r="Q14" s="442"/>
      <c r="R14" s="442"/>
      <c r="S14" s="442"/>
      <c r="T14" s="442"/>
      <c r="U14" s="442"/>
      <c r="V14" s="442"/>
      <c r="W14" s="443"/>
      <c r="X14" s="433" t="s">
        <v>94</v>
      </c>
      <c r="Y14" s="434"/>
      <c r="Z14" s="434"/>
      <c r="AA14" s="434"/>
      <c r="AB14" s="434"/>
      <c r="AC14" s="434"/>
      <c r="AD14" s="434"/>
      <c r="AE14" s="434"/>
      <c r="AF14" s="435"/>
      <c r="AG14" s="433">
        <v>42917</v>
      </c>
      <c r="AH14" s="434"/>
      <c r="AI14" s="434"/>
      <c r="AJ14" s="434"/>
      <c r="AK14" s="434"/>
      <c r="AL14" s="434"/>
      <c r="AM14" s="434"/>
      <c r="AN14" s="435"/>
    </row>
    <row r="15" spans="2:48" ht="6" customHeight="1">
      <c r="B15" s="6"/>
      <c r="AN15" s="7"/>
    </row>
    <row r="16" spans="2:48" ht="13.5" customHeight="1">
      <c r="B16" s="6" t="s">
        <v>24</v>
      </c>
      <c r="AN16" s="7"/>
      <c r="AO16" s="38" t="b">
        <v>0</v>
      </c>
    </row>
    <row r="17" spans="1:48" ht="6" customHeight="1">
      <c r="B17" s="6"/>
      <c r="AN17" s="7"/>
    </row>
    <row r="18" spans="1:48" ht="12.6" customHeight="1">
      <c r="B18" s="33" t="s">
        <v>20</v>
      </c>
      <c r="C18" s="34"/>
      <c r="D18" s="34"/>
      <c r="E18" s="34"/>
      <c r="F18" s="34"/>
      <c r="G18" s="52"/>
      <c r="H18" s="52"/>
      <c r="I18" s="52"/>
      <c r="J18" s="52"/>
      <c r="K18" s="485" t="s">
        <v>16</v>
      </c>
      <c r="L18" s="486"/>
      <c r="M18" s="486"/>
      <c r="N18" s="486"/>
      <c r="O18" s="486"/>
      <c r="P18" s="487"/>
      <c r="Q18" s="483" t="s">
        <v>19</v>
      </c>
      <c r="R18" s="484"/>
      <c r="S18" s="484"/>
      <c r="T18" s="484"/>
      <c r="U18" s="484"/>
      <c r="V18" s="484"/>
      <c r="W18" s="484"/>
      <c r="X18" s="484"/>
      <c r="Y18" s="471" t="s">
        <v>18</v>
      </c>
      <c r="Z18" s="472"/>
      <c r="AA18" s="472"/>
      <c r="AB18" s="472"/>
      <c r="AC18" s="472"/>
      <c r="AD18" s="472"/>
      <c r="AE18" s="472"/>
      <c r="AF18" s="472"/>
      <c r="AG18" s="472"/>
      <c r="AH18" s="472"/>
      <c r="AI18" s="473"/>
      <c r="AJ18" s="459">
        <v>0.29039999999999999</v>
      </c>
      <c r="AK18" s="460"/>
      <c r="AL18" s="460"/>
      <c r="AM18" s="460"/>
      <c r="AN18" s="461"/>
      <c r="AP18" s="93"/>
      <c r="AQ18" s="89"/>
      <c r="AS18" s="90"/>
    </row>
    <row r="19" spans="1:48" ht="12.6" customHeight="1">
      <c r="B19" s="35"/>
      <c r="C19" s="36"/>
      <c r="D19" s="36"/>
      <c r="E19" s="36"/>
      <c r="F19" s="36"/>
      <c r="G19" s="53"/>
      <c r="H19" s="53"/>
      <c r="I19" s="53"/>
      <c r="J19" s="53"/>
      <c r="K19" s="488"/>
      <c r="L19" s="489"/>
      <c r="M19" s="489"/>
      <c r="N19" s="489"/>
      <c r="O19" s="489"/>
      <c r="P19" s="490"/>
      <c r="Q19" s="447"/>
      <c r="R19" s="448"/>
      <c r="S19" s="448"/>
      <c r="T19" s="448"/>
      <c r="U19" s="448"/>
      <c r="V19" s="448"/>
      <c r="W19" s="448"/>
      <c r="X19" s="448"/>
      <c r="Y19" s="474"/>
      <c r="Z19" s="475"/>
      <c r="AA19" s="475"/>
      <c r="AB19" s="475"/>
      <c r="AC19" s="475"/>
      <c r="AD19" s="475"/>
      <c r="AE19" s="475"/>
      <c r="AF19" s="475"/>
      <c r="AG19" s="475"/>
      <c r="AH19" s="475"/>
      <c r="AI19" s="476"/>
      <c r="AJ19" s="462"/>
      <c r="AK19" s="463"/>
      <c r="AL19" s="463"/>
      <c r="AM19" s="463"/>
      <c r="AN19" s="464"/>
      <c r="AP19" s="40"/>
      <c r="AQ19" s="91"/>
    </row>
    <row r="20" spans="1:48" ht="12.6" customHeight="1">
      <c r="B20" s="18" t="s">
        <v>38</v>
      </c>
      <c r="C20" s="19"/>
      <c r="D20" s="19"/>
      <c r="E20" s="19"/>
      <c r="F20" s="19"/>
      <c r="G20" s="54"/>
      <c r="H20" s="54"/>
      <c r="I20" s="54"/>
      <c r="J20" s="54"/>
      <c r="K20" s="55" t="s">
        <v>15</v>
      </c>
      <c r="L20" s="497">
        <v>0</v>
      </c>
      <c r="M20" s="497"/>
      <c r="N20" s="56" t="s">
        <v>14</v>
      </c>
      <c r="O20" s="497">
        <v>7.4000000000000003E-3</v>
      </c>
      <c r="P20" s="498"/>
      <c r="Q20" s="57" t="s">
        <v>25</v>
      </c>
      <c r="R20" s="58"/>
      <c r="S20" s="58"/>
      <c r="T20" s="20"/>
      <c r="U20" s="20"/>
      <c r="V20" s="44"/>
      <c r="W20" s="465">
        <v>0</v>
      </c>
      <c r="X20" s="466"/>
      <c r="Y20" s="477" t="s">
        <v>47</v>
      </c>
      <c r="Z20" s="478"/>
      <c r="AA20" s="478"/>
      <c r="AB20" s="478"/>
      <c r="AC20" s="478"/>
      <c r="AD20" s="478"/>
      <c r="AE20" s="478"/>
      <c r="AF20" s="478"/>
      <c r="AG20" s="478"/>
      <c r="AH20" s="478"/>
      <c r="AI20" s="478"/>
      <c r="AJ20" s="478"/>
      <c r="AK20" s="478"/>
      <c r="AL20" s="478"/>
      <c r="AM20" s="478"/>
      <c r="AN20" s="479"/>
      <c r="AP20" s="40"/>
      <c r="AQ20" s="92"/>
      <c r="AT20" s="4"/>
      <c r="AV20" s="3"/>
    </row>
    <row r="21" spans="1:48" ht="12.6" customHeight="1">
      <c r="B21" s="21" t="s">
        <v>43</v>
      </c>
      <c r="C21" s="22"/>
      <c r="D21" s="22"/>
      <c r="E21" s="22"/>
      <c r="F21" s="22"/>
      <c r="G21" s="59"/>
      <c r="H21" s="59"/>
      <c r="I21" s="59"/>
      <c r="J21" s="59"/>
      <c r="K21" s="60" t="s">
        <v>15</v>
      </c>
      <c r="L21" s="491">
        <v>0</v>
      </c>
      <c r="M21" s="491"/>
      <c r="N21" s="61" t="s">
        <v>14</v>
      </c>
      <c r="O21" s="491">
        <v>9.7000000000000003E-3</v>
      </c>
      <c r="P21" s="492"/>
      <c r="Q21" s="62" t="s">
        <v>26</v>
      </c>
      <c r="R21" s="63"/>
      <c r="S21" s="63"/>
      <c r="T21" s="23"/>
      <c r="U21" s="23"/>
      <c r="V21" s="45"/>
      <c r="W21" s="467">
        <v>1.7100000000000001E-2</v>
      </c>
      <c r="X21" s="468"/>
      <c r="Y21" s="480"/>
      <c r="Z21" s="481"/>
      <c r="AA21" s="481"/>
      <c r="AB21" s="481"/>
      <c r="AC21" s="481"/>
      <c r="AD21" s="481"/>
      <c r="AE21" s="481"/>
      <c r="AF21" s="481"/>
      <c r="AG21" s="481"/>
      <c r="AH21" s="481"/>
      <c r="AI21" s="481"/>
      <c r="AJ21" s="481"/>
      <c r="AK21" s="481"/>
      <c r="AL21" s="481"/>
      <c r="AM21" s="481"/>
      <c r="AN21" s="482"/>
      <c r="AP21" s="40"/>
      <c r="AT21" s="4"/>
      <c r="AV21" s="3"/>
    </row>
    <row r="22" spans="1:48" ht="12.6" customHeight="1">
      <c r="B22" s="21" t="s">
        <v>39</v>
      </c>
      <c r="C22" s="22"/>
      <c r="D22" s="22"/>
      <c r="E22" s="22"/>
      <c r="F22" s="22"/>
      <c r="G22" s="59"/>
      <c r="H22" s="59"/>
      <c r="I22" s="59"/>
      <c r="J22" s="59"/>
      <c r="K22" s="60" t="s">
        <v>15</v>
      </c>
      <c r="L22" s="491">
        <v>0</v>
      </c>
      <c r="M22" s="491"/>
      <c r="N22" s="61" t="s">
        <v>14</v>
      </c>
      <c r="O22" s="491">
        <v>1.21E-2</v>
      </c>
      <c r="P22" s="492"/>
      <c r="Q22" s="62" t="s">
        <v>27</v>
      </c>
      <c r="R22" s="63"/>
      <c r="S22" s="63"/>
      <c r="T22" s="23"/>
      <c r="U22" s="23"/>
      <c r="V22" s="45"/>
      <c r="W22" s="467">
        <v>1.21E-2</v>
      </c>
      <c r="X22" s="468"/>
      <c r="Y22" s="480"/>
      <c r="Z22" s="481"/>
      <c r="AA22" s="481"/>
      <c r="AB22" s="481"/>
      <c r="AC22" s="481"/>
      <c r="AD22" s="481"/>
      <c r="AE22" s="481"/>
      <c r="AF22" s="481"/>
      <c r="AG22" s="481"/>
      <c r="AH22" s="481"/>
      <c r="AI22" s="481"/>
      <c r="AJ22" s="481"/>
      <c r="AK22" s="481"/>
      <c r="AL22" s="481"/>
      <c r="AM22" s="481"/>
      <c r="AN22" s="482"/>
      <c r="AP22" s="103"/>
      <c r="AT22" s="4"/>
      <c r="AV22" s="3"/>
    </row>
    <row r="23" spans="1:48" ht="12.6" customHeight="1">
      <c r="B23" s="21" t="s">
        <v>40</v>
      </c>
      <c r="C23" s="22"/>
      <c r="D23" s="22"/>
      <c r="E23" s="22"/>
      <c r="F23" s="22"/>
      <c r="G23" s="59"/>
      <c r="H23" s="59"/>
      <c r="I23" s="59"/>
      <c r="J23" s="59"/>
      <c r="K23" s="60" t="s">
        <v>15</v>
      </c>
      <c r="L23" s="491">
        <v>1.1000000000000001E-3</v>
      </c>
      <c r="M23" s="491"/>
      <c r="N23" s="61" t="s">
        <v>14</v>
      </c>
      <c r="O23" s="491">
        <v>4.6699999999999998E-2</v>
      </c>
      <c r="P23" s="492"/>
      <c r="Q23" s="62" t="s">
        <v>28</v>
      </c>
      <c r="R23" s="63"/>
      <c r="S23" s="63"/>
      <c r="T23" s="23"/>
      <c r="U23" s="23"/>
      <c r="V23" s="45"/>
      <c r="W23" s="467">
        <v>4.53E-2</v>
      </c>
      <c r="X23" s="468"/>
      <c r="Y23" s="480"/>
      <c r="Z23" s="481"/>
      <c r="AA23" s="481"/>
      <c r="AB23" s="481"/>
      <c r="AC23" s="481"/>
      <c r="AD23" s="481"/>
      <c r="AE23" s="481"/>
      <c r="AF23" s="481"/>
      <c r="AG23" s="481"/>
      <c r="AH23" s="481"/>
      <c r="AI23" s="481"/>
      <c r="AJ23" s="481"/>
      <c r="AK23" s="481"/>
      <c r="AL23" s="481"/>
      <c r="AM23" s="481"/>
      <c r="AN23" s="482"/>
      <c r="AP23" s="40"/>
      <c r="AT23" s="4"/>
      <c r="AV23" s="3"/>
    </row>
    <row r="24" spans="1:48" ht="12.6" customHeight="1">
      <c r="B24" s="21" t="s">
        <v>41</v>
      </c>
      <c r="C24" s="22"/>
      <c r="D24" s="22"/>
      <c r="E24" s="22"/>
      <c r="F24" s="22"/>
      <c r="G24" s="59"/>
      <c r="H24" s="59"/>
      <c r="I24" s="59"/>
      <c r="J24" s="59"/>
      <c r="K24" s="60" t="s">
        <v>15</v>
      </c>
      <c r="L24" s="491">
        <v>3.8300000000000001E-2</v>
      </c>
      <c r="M24" s="491"/>
      <c r="N24" s="61" t="s">
        <v>14</v>
      </c>
      <c r="O24" s="491">
        <v>8.6900000000000005E-2</v>
      </c>
      <c r="P24" s="492"/>
      <c r="Q24" s="62" t="s">
        <v>29</v>
      </c>
      <c r="R24" s="63"/>
      <c r="S24" s="63"/>
      <c r="T24" s="23"/>
      <c r="U24" s="23"/>
      <c r="V24" s="45"/>
      <c r="W24" s="467">
        <v>8.43E-2</v>
      </c>
      <c r="X24" s="468"/>
      <c r="Y24" s="480"/>
      <c r="Z24" s="481"/>
      <c r="AA24" s="481"/>
      <c r="AB24" s="481"/>
      <c r="AC24" s="481"/>
      <c r="AD24" s="481"/>
      <c r="AE24" s="481"/>
      <c r="AF24" s="481"/>
      <c r="AG24" s="481"/>
      <c r="AH24" s="481"/>
      <c r="AI24" s="481"/>
      <c r="AJ24" s="481"/>
      <c r="AK24" s="481"/>
      <c r="AL24" s="481"/>
      <c r="AM24" s="481"/>
      <c r="AN24" s="482"/>
      <c r="AT24" s="4"/>
      <c r="AV24" s="3"/>
    </row>
    <row r="25" spans="1:48" ht="12.6" customHeight="1">
      <c r="B25" s="190" t="s">
        <v>42</v>
      </c>
      <c r="C25" s="191"/>
      <c r="D25" s="191"/>
      <c r="E25" s="191"/>
      <c r="F25" s="191"/>
      <c r="G25" s="192"/>
      <c r="H25" s="192"/>
      <c r="I25" s="192"/>
      <c r="J25" s="192"/>
      <c r="K25" s="193" t="s">
        <v>15</v>
      </c>
      <c r="L25" s="495">
        <f>6.03%-0.38%</f>
        <v>5.6500000000000002E-2</v>
      </c>
      <c r="M25" s="495"/>
      <c r="N25" s="194" t="s">
        <v>14</v>
      </c>
      <c r="O25" s="495">
        <f>9.03%-0.38%</f>
        <v>8.6499999999999994E-2</v>
      </c>
      <c r="P25" s="496"/>
      <c r="Q25" s="195" t="s">
        <v>30</v>
      </c>
      <c r="R25" s="196"/>
      <c r="S25" s="196"/>
      <c r="T25" s="197"/>
      <c r="U25" s="197"/>
      <c r="V25" s="198"/>
      <c r="W25" s="493">
        <v>5.1499999999999997E-2</v>
      </c>
      <c r="X25" s="494"/>
      <c r="Y25" s="480"/>
      <c r="Z25" s="481"/>
      <c r="AA25" s="481"/>
      <c r="AB25" s="481"/>
      <c r="AC25" s="481"/>
      <c r="AD25" s="481"/>
      <c r="AE25" s="481"/>
      <c r="AF25" s="481"/>
      <c r="AG25" s="481"/>
      <c r="AH25" s="481"/>
      <c r="AI25" s="481"/>
      <c r="AJ25" s="481"/>
      <c r="AK25" s="481"/>
      <c r="AL25" s="481"/>
      <c r="AM25" s="481"/>
      <c r="AN25" s="482"/>
      <c r="AT25" s="4"/>
      <c r="AV25" s="3"/>
    </row>
    <row r="26" spans="1:48" ht="15.75" customHeight="1">
      <c r="B26" s="407"/>
      <c r="C26" s="408"/>
      <c r="D26" s="408"/>
      <c r="E26" s="408"/>
      <c r="F26" s="408"/>
      <c r="G26" s="408"/>
      <c r="H26" s="408"/>
      <c r="I26" s="408"/>
      <c r="J26" s="408"/>
      <c r="K26" s="408"/>
      <c r="L26" s="408"/>
      <c r="M26" s="408"/>
      <c r="N26" s="408"/>
      <c r="O26" s="408"/>
      <c r="P26" s="408"/>
      <c r="Q26" s="408"/>
      <c r="R26" s="408"/>
      <c r="S26" s="408"/>
      <c r="T26" s="408"/>
      <c r="U26" s="408"/>
      <c r="V26" s="408"/>
      <c r="W26" s="408"/>
      <c r="X26" s="408"/>
      <c r="Y26" s="408"/>
      <c r="Z26" s="408"/>
      <c r="AA26" s="408"/>
      <c r="AB26" s="408"/>
      <c r="AC26" s="408"/>
      <c r="AD26" s="408"/>
      <c r="AE26" s="408"/>
      <c r="AF26" s="408"/>
      <c r="AG26" s="408"/>
      <c r="AH26" s="408"/>
      <c r="AI26" s="408"/>
      <c r="AJ26" s="408"/>
      <c r="AK26" s="408"/>
      <c r="AL26" s="408"/>
      <c r="AM26" s="408"/>
      <c r="AN26" s="409"/>
    </row>
    <row r="27" spans="1:48" ht="12" customHeight="1">
      <c r="B27" s="524" t="s">
        <v>3</v>
      </c>
      <c r="C27" s="24"/>
      <c r="D27" s="25"/>
      <c r="E27" s="26"/>
      <c r="F27" s="25"/>
      <c r="G27" s="511" t="s">
        <v>4</v>
      </c>
      <c r="H27" s="512"/>
      <c r="I27" s="512"/>
      <c r="J27" s="512"/>
      <c r="K27" s="512"/>
      <c r="L27" s="512"/>
      <c r="M27" s="512"/>
      <c r="N27" s="512"/>
      <c r="O27" s="512"/>
      <c r="P27" s="512"/>
      <c r="Q27" s="512"/>
      <c r="R27" s="512"/>
      <c r="S27" s="513"/>
      <c r="T27" s="483" t="s">
        <v>5</v>
      </c>
      <c r="U27" s="499"/>
      <c r="V27" s="502" t="s">
        <v>6</v>
      </c>
      <c r="W27" s="503"/>
      <c r="X27" s="504"/>
      <c r="Y27" s="444" t="s">
        <v>31</v>
      </c>
      <c r="Z27" s="445"/>
      <c r="AA27" s="445"/>
      <c r="AB27" s="445"/>
      <c r="AC27" s="445"/>
      <c r="AD27" s="445"/>
      <c r="AE27" s="445"/>
      <c r="AF27" s="445"/>
      <c r="AG27" s="445"/>
      <c r="AH27" s="445"/>
      <c r="AI27" s="445"/>
      <c r="AJ27" s="445"/>
      <c r="AK27" s="445"/>
      <c r="AL27" s="445"/>
      <c r="AM27" s="445"/>
      <c r="AN27" s="446"/>
    </row>
    <row r="28" spans="1:48" ht="12" customHeight="1">
      <c r="A28" s="13"/>
      <c r="B28" s="525"/>
      <c r="C28" s="37" t="s">
        <v>45</v>
      </c>
      <c r="D28" s="27"/>
      <c r="E28" s="527" t="s">
        <v>46</v>
      </c>
      <c r="F28" s="528"/>
      <c r="G28" s="514"/>
      <c r="H28" s="515"/>
      <c r="I28" s="515"/>
      <c r="J28" s="515"/>
      <c r="K28" s="515"/>
      <c r="L28" s="515"/>
      <c r="M28" s="515"/>
      <c r="N28" s="515"/>
      <c r="O28" s="515"/>
      <c r="P28" s="515"/>
      <c r="Q28" s="515"/>
      <c r="R28" s="515"/>
      <c r="S28" s="516"/>
      <c r="T28" s="500"/>
      <c r="U28" s="501"/>
      <c r="V28" s="505"/>
      <c r="W28" s="506"/>
      <c r="X28" s="507"/>
      <c r="Y28" s="444" t="s">
        <v>32</v>
      </c>
      <c r="Z28" s="445"/>
      <c r="AA28" s="445"/>
      <c r="AB28" s="445"/>
      <c r="AC28" s="445"/>
      <c r="AD28" s="445"/>
      <c r="AE28" s="445"/>
      <c r="AF28" s="450" t="s">
        <v>34</v>
      </c>
      <c r="AG28" s="445"/>
      <c r="AH28" s="445"/>
      <c r="AI28" s="445"/>
      <c r="AJ28" s="445"/>
      <c r="AK28" s="445"/>
      <c r="AL28" s="445"/>
      <c r="AM28" s="445"/>
      <c r="AN28" s="446"/>
    </row>
    <row r="29" spans="1:48" ht="12" customHeight="1">
      <c r="A29" s="13"/>
      <c r="B29" s="526"/>
      <c r="C29" s="28"/>
      <c r="D29" s="29"/>
      <c r="E29" s="30"/>
      <c r="F29" s="29"/>
      <c r="G29" s="517"/>
      <c r="H29" s="518"/>
      <c r="I29" s="518"/>
      <c r="J29" s="518"/>
      <c r="K29" s="518"/>
      <c r="L29" s="518"/>
      <c r="M29" s="518"/>
      <c r="N29" s="518"/>
      <c r="O29" s="518"/>
      <c r="P29" s="518"/>
      <c r="Q29" s="518"/>
      <c r="R29" s="518"/>
      <c r="S29" s="519"/>
      <c r="T29" s="447"/>
      <c r="U29" s="449"/>
      <c r="V29" s="508"/>
      <c r="W29" s="509"/>
      <c r="X29" s="510"/>
      <c r="Y29" s="447" t="s">
        <v>21</v>
      </c>
      <c r="Z29" s="448"/>
      <c r="AA29" s="449"/>
      <c r="AB29" s="447" t="s">
        <v>33</v>
      </c>
      <c r="AC29" s="448"/>
      <c r="AD29" s="448"/>
      <c r="AE29" s="448"/>
      <c r="AF29" s="451" t="s">
        <v>21</v>
      </c>
      <c r="AG29" s="448"/>
      <c r="AH29" s="449"/>
      <c r="AI29" s="452" t="s">
        <v>33</v>
      </c>
      <c r="AJ29" s="453"/>
      <c r="AK29" s="453"/>
      <c r="AL29" s="453"/>
      <c r="AM29" s="453"/>
      <c r="AN29" s="454"/>
      <c r="AP29" s="95"/>
      <c r="AQ29" s="96"/>
    </row>
    <row r="30" spans="1:48" ht="17.25" customHeight="1">
      <c r="A30" s="13"/>
      <c r="B30" s="115">
        <v>1</v>
      </c>
      <c r="C30" s="521"/>
      <c r="D30" s="522"/>
      <c r="E30" s="522"/>
      <c r="F30" s="523"/>
      <c r="G30" s="535" t="s">
        <v>102</v>
      </c>
      <c r="H30" s="536"/>
      <c r="I30" s="536"/>
      <c r="J30" s="536"/>
      <c r="K30" s="536"/>
      <c r="L30" s="536"/>
      <c r="M30" s="536"/>
      <c r="N30" s="536"/>
      <c r="O30" s="536"/>
      <c r="P30" s="536"/>
      <c r="Q30" s="536"/>
      <c r="R30" s="536"/>
      <c r="S30" s="536"/>
      <c r="T30" s="536"/>
      <c r="U30" s="536"/>
      <c r="V30" s="536"/>
      <c r="W30" s="536"/>
      <c r="X30" s="536"/>
      <c r="Y30" s="536"/>
      <c r="Z30" s="536"/>
      <c r="AA30" s="536"/>
      <c r="AB30" s="536" t="str">
        <f>IF(T30="","",ROUND(V30*Y30,2))</f>
        <v/>
      </c>
      <c r="AC30" s="536"/>
      <c r="AD30" s="536"/>
      <c r="AE30" s="536"/>
      <c r="AF30" s="536" t="str">
        <f t="shared" ref="AF30:AF59" si="0">IF(T30="","",ROUND(Y30*(1+$AJ$18),2))</f>
        <v/>
      </c>
      <c r="AG30" s="536"/>
      <c r="AH30" s="536"/>
      <c r="AI30" s="536" t="str">
        <f t="shared" ref="AI30:AI59" si="1">IF(T30="","",ROUND(V30*AF30,2))</f>
        <v/>
      </c>
      <c r="AJ30" s="536"/>
      <c r="AK30" s="536"/>
      <c r="AL30" s="536"/>
      <c r="AM30" s="536"/>
      <c r="AN30" s="537"/>
      <c r="AP30" s="95"/>
      <c r="AQ30" s="94"/>
    </row>
    <row r="31" spans="1:48" ht="30.75" customHeight="1">
      <c r="A31" s="13"/>
      <c r="B31" s="116" t="s">
        <v>99</v>
      </c>
      <c r="C31" s="404"/>
      <c r="D31" s="405"/>
      <c r="E31" s="406" t="s">
        <v>103</v>
      </c>
      <c r="F31" s="406"/>
      <c r="G31" s="429" t="s">
        <v>95</v>
      </c>
      <c r="H31" s="429"/>
      <c r="I31" s="429"/>
      <c r="J31" s="429"/>
      <c r="K31" s="429"/>
      <c r="L31" s="429"/>
      <c r="M31" s="429"/>
      <c r="N31" s="429"/>
      <c r="O31" s="429"/>
      <c r="P31" s="429"/>
      <c r="Q31" s="429"/>
      <c r="R31" s="429"/>
      <c r="S31" s="429"/>
      <c r="T31" s="428" t="s">
        <v>144</v>
      </c>
      <c r="U31" s="428"/>
      <c r="V31" s="413" t="e">
        <f>'MEMORIA DE CÁLCULO'!#REF!</f>
        <v>#REF!</v>
      </c>
      <c r="W31" s="413"/>
      <c r="X31" s="413"/>
      <c r="Y31" s="420">
        <f>CPU!I27</f>
        <v>5540.88</v>
      </c>
      <c r="Z31" s="420"/>
      <c r="AA31" s="420"/>
      <c r="AB31" s="411" t="e">
        <f t="shared" ref="AB31:AB59" si="2">IF(T31="","",ROUND(V31*Y31,2))</f>
        <v>#REF!</v>
      </c>
      <c r="AC31" s="411"/>
      <c r="AD31" s="411"/>
      <c r="AE31" s="411"/>
      <c r="AF31" s="410">
        <f t="shared" si="0"/>
        <v>7149.95</v>
      </c>
      <c r="AG31" s="410"/>
      <c r="AH31" s="410"/>
      <c r="AI31" s="410" t="e">
        <f t="shared" si="1"/>
        <v>#REF!</v>
      </c>
      <c r="AJ31" s="410"/>
      <c r="AK31" s="410"/>
      <c r="AL31" s="410"/>
      <c r="AM31" s="410"/>
      <c r="AN31" s="410"/>
      <c r="AP31" s="95"/>
    </row>
    <row r="32" spans="1:48" ht="30.75" customHeight="1">
      <c r="A32" s="13"/>
      <c r="B32" s="116" t="s">
        <v>100</v>
      </c>
      <c r="C32" s="406" t="s">
        <v>104</v>
      </c>
      <c r="D32" s="406" t="s">
        <v>104</v>
      </c>
      <c r="E32" s="406" t="s">
        <v>105</v>
      </c>
      <c r="F32" s="406"/>
      <c r="G32" s="429" t="s">
        <v>96</v>
      </c>
      <c r="H32" s="429"/>
      <c r="I32" s="429"/>
      <c r="J32" s="429"/>
      <c r="K32" s="429"/>
      <c r="L32" s="429"/>
      <c r="M32" s="429"/>
      <c r="N32" s="429"/>
      <c r="O32" s="429"/>
      <c r="P32" s="429"/>
      <c r="Q32" s="429"/>
      <c r="R32" s="429"/>
      <c r="S32" s="429"/>
      <c r="T32" s="428" t="s">
        <v>145</v>
      </c>
      <c r="U32" s="428" t="s">
        <v>145</v>
      </c>
      <c r="V32" s="413" t="e">
        <f>'MEMORIA DE CÁLCULO'!#REF!</f>
        <v>#REF!</v>
      </c>
      <c r="W32" s="413"/>
      <c r="X32" s="413"/>
      <c r="Y32" s="420">
        <v>312.91000000000003</v>
      </c>
      <c r="Z32" s="420"/>
      <c r="AA32" s="420"/>
      <c r="AB32" s="411" t="e">
        <f t="shared" si="2"/>
        <v>#REF!</v>
      </c>
      <c r="AC32" s="411"/>
      <c r="AD32" s="411"/>
      <c r="AE32" s="411"/>
      <c r="AF32" s="410">
        <f t="shared" si="0"/>
        <v>403.78</v>
      </c>
      <c r="AG32" s="410"/>
      <c r="AH32" s="410"/>
      <c r="AI32" s="410" t="e">
        <f t="shared" si="1"/>
        <v>#REF!</v>
      </c>
      <c r="AJ32" s="410"/>
      <c r="AK32" s="410"/>
      <c r="AL32" s="410"/>
      <c r="AM32" s="410"/>
      <c r="AN32" s="410"/>
      <c r="AP32" s="95"/>
    </row>
    <row r="33" spans="1:43" ht="30.75" customHeight="1">
      <c r="A33" s="13"/>
      <c r="B33" s="116" t="s">
        <v>101</v>
      </c>
      <c r="C33" s="406">
        <v>78472</v>
      </c>
      <c r="D33" s="406">
        <v>78472</v>
      </c>
      <c r="E33" s="406" t="s">
        <v>105</v>
      </c>
      <c r="F33" s="406"/>
      <c r="G33" s="429" t="s">
        <v>97</v>
      </c>
      <c r="H33" s="429"/>
      <c r="I33" s="429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8" t="s">
        <v>145</v>
      </c>
      <c r="U33" s="428" t="s">
        <v>145</v>
      </c>
      <c r="V33" s="413" t="e">
        <f>'MEMORIA DE CÁLCULO'!#REF!</f>
        <v>#REF!</v>
      </c>
      <c r="W33" s="413"/>
      <c r="X33" s="413"/>
      <c r="Y33" s="420">
        <v>0.31</v>
      </c>
      <c r="Z33" s="420">
        <v>0.35</v>
      </c>
      <c r="AA33" s="420">
        <v>0.35</v>
      </c>
      <c r="AB33" s="411" t="e">
        <f t="shared" si="2"/>
        <v>#REF!</v>
      </c>
      <c r="AC33" s="411"/>
      <c r="AD33" s="411"/>
      <c r="AE33" s="411"/>
      <c r="AF33" s="410">
        <f t="shared" si="0"/>
        <v>0.4</v>
      </c>
      <c r="AG33" s="410"/>
      <c r="AH33" s="410"/>
      <c r="AI33" s="410" t="e">
        <f t="shared" si="1"/>
        <v>#REF!</v>
      </c>
      <c r="AJ33" s="410"/>
      <c r="AK33" s="410"/>
      <c r="AL33" s="410"/>
      <c r="AM33" s="410"/>
      <c r="AN33" s="410"/>
      <c r="AP33" s="95"/>
    </row>
    <row r="34" spans="1:43" ht="12" customHeight="1">
      <c r="A34" s="13"/>
      <c r="B34" s="116"/>
      <c r="C34" s="425" t="s">
        <v>218</v>
      </c>
      <c r="D34" s="426"/>
      <c r="E34" s="426"/>
      <c r="F34" s="426"/>
      <c r="G34" s="426"/>
      <c r="H34" s="426"/>
      <c r="I34" s="426"/>
      <c r="J34" s="426"/>
      <c r="K34" s="426"/>
      <c r="L34" s="426"/>
      <c r="M34" s="426"/>
      <c r="N34" s="426"/>
      <c r="O34" s="426"/>
      <c r="P34" s="426"/>
      <c r="Q34" s="426"/>
      <c r="R34" s="426"/>
      <c r="S34" s="426"/>
      <c r="T34" s="426"/>
      <c r="U34" s="426"/>
      <c r="V34" s="426"/>
      <c r="W34" s="426"/>
      <c r="X34" s="426"/>
      <c r="Y34" s="426"/>
      <c r="Z34" s="426"/>
      <c r="AA34" s="426"/>
      <c r="AB34" s="426"/>
      <c r="AC34" s="426"/>
      <c r="AD34" s="426"/>
      <c r="AE34" s="426"/>
      <c r="AF34" s="426"/>
      <c r="AG34" s="426"/>
      <c r="AH34" s="427"/>
      <c r="AI34" s="422" t="e">
        <f>SUM(AI31:AN33)</f>
        <v>#REF!</v>
      </c>
      <c r="AJ34" s="423"/>
      <c r="AK34" s="423"/>
      <c r="AL34" s="423"/>
      <c r="AM34" s="423"/>
      <c r="AN34" s="424"/>
    </row>
    <row r="35" spans="1:43" ht="17.25" customHeight="1">
      <c r="A35" s="13"/>
      <c r="B35" s="115">
        <v>2</v>
      </c>
      <c r="C35" s="521"/>
      <c r="D35" s="522"/>
      <c r="E35" s="522"/>
      <c r="F35" s="523"/>
      <c r="G35" s="535" t="s">
        <v>98</v>
      </c>
      <c r="H35" s="536"/>
      <c r="I35" s="536"/>
      <c r="J35" s="536"/>
      <c r="K35" s="536"/>
      <c r="L35" s="536"/>
      <c r="M35" s="536"/>
      <c r="N35" s="536"/>
      <c r="O35" s="536"/>
      <c r="P35" s="536"/>
      <c r="Q35" s="536"/>
      <c r="R35" s="536"/>
      <c r="S35" s="536"/>
      <c r="T35" s="536"/>
      <c r="U35" s="536"/>
      <c r="V35" s="536"/>
      <c r="W35" s="536"/>
      <c r="X35" s="536"/>
      <c r="Y35" s="536"/>
      <c r="Z35" s="536"/>
      <c r="AA35" s="536"/>
      <c r="AB35" s="536" t="str">
        <f t="shared" si="2"/>
        <v/>
      </c>
      <c r="AC35" s="536"/>
      <c r="AD35" s="536"/>
      <c r="AE35" s="536"/>
      <c r="AF35" s="536" t="str">
        <f t="shared" si="0"/>
        <v/>
      </c>
      <c r="AG35" s="536"/>
      <c r="AH35" s="536"/>
      <c r="AI35" s="536" t="str">
        <f t="shared" si="1"/>
        <v/>
      </c>
      <c r="AJ35" s="536"/>
      <c r="AK35" s="536"/>
      <c r="AL35" s="536"/>
      <c r="AM35" s="536"/>
      <c r="AN35" s="537"/>
      <c r="AO35" s="99"/>
      <c r="AP35" s="100"/>
    </row>
    <row r="36" spans="1:43" ht="36.75" customHeight="1">
      <c r="A36" s="13"/>
      <c r="B36" s="116" t="s">
        <v>253</v>
      </c>
      <c r="C36" s="520" t="s">
        <v>110</v>
      </c>
      <c r="D36" s="520"/>
      <c r="E36" s="406" t="s">
        <v>105</v>
      </c>
      <c r="F36" s="406"/>
      <c r="G36" s="429" t="s">
        <v>106</v>
      </c>
      <c r="H36" s="429"/>
      <c r="I36" s="429"/>
      <c r="J36" s="429"/>
      <c r="K36" s="429"/>
      <c r="L36" s="429"/>
      <c r="M36" s="429"/>
      <c r="N36" s="429"/>
      <c r="O36" s="429"/>
      <c r="P36" s="429"/>
      <c r="Q36" s="429"/>
      <c r="R36" s="429"/>
      <c r="S36" s="429"/>
      <c r="T36" s="406" t="s">
        <v>146</v>
      </c>
      <c r="U36" s="406"/>
      <c r="V36" s="413" t="e">
        <f>'MEMORIA DE CÁLCULO'!#REF!</f>
        <v>#REF!</v>
      </c>
      <c r="W36" s="413"/>
      <c r="X36" s="413"/>
      <c r="Y36" s="420">
        <v>4.54</v>
      </c>
      <c r="Z36" s="420">
        <v>4.7300000000000004</v>
      </c>
      <c r="AA36" s="420">
        <v>4.7300000000000004</v>
      </c>
      <c r="AB36" s="411" t="e">
        <f t="shared" si="2"/>
        <v>#REF!</v>
      </c>
      <c r="AC36" s="411"/>
      <c r="AD36" s="411"/>
      <c r="AE36" s="411"/>
      <c r="AF36" s="410">
        <f t="shared" si="0"/>
        <v>5.86</v>
      </c>
      <c r="AG36" s="410"/>
      <c r="AH36" s="410"/>
      <c r="AI36" s="410" t="e">
        <f t="shared" si="1"/>
        <v>#REF!</v>
      </c>
      <c r="AJ36" s="410"/>
      <c r="AK36" s="410"/>
      <c r="AL36" s="410"/>
      <c r="AM36" s="410"/>
      <c r="AN36" s="410"/>
      <c r="AO36" s="98"/>
      <c r="AP36" s="101"/>
    </row>
    <row r="37" spans="1:43" ht="33" customHeight="1">
      <c r="A37" s="13"/>
      <c r="B37" s="116" t="s">
        <v>254</v>
      </c>
      <c r="C37" s="520">
        <v>72961</v>
      </c>
      <c r="D37" s="520">
        <v>72961</v>
      </c>
      <c r="E37" s="406" t="s">
        <v>105</v>
      </c>
      <c r="F37" s="406"/>
      <c r="G37" s="429" t="s">
        <v>107</v>
      </c>
      <c r="H37" s="429"/>
      <c r="I37" s="429"/>
      <c r="J37" s="429"/>
      <c r="K37" s="429"/>
      <c r="L37" s="429"/>
      <c r="M37" s="429"/>
      <c r="N37" s="429"/>
      <c r="O37" s="429"/>
      <c r="P37" s="429"/>
      <c r="Q37" s="429"/>
      <c r="R37" s="429"/>
      <c r="S37" s="429"/>
      <c r="T37" s="406" t="s">
        <v>145</v>
      </c>
      <c r="U37" s="406" t="s">
        <v>145</v>
      </c>
      <c r="V37" s="413" t="e">
        <f>'MEMORIA DE CÁLCULO'!#REF!</f>
        <v>#REF!</v>
      </c>
      <c r="W37" s="413"/>
      <c r="X37" s="413"/>
      <c r="Y37" s="420">
        <v>1.06</v>
      </c>
      <c r="Z37" s="420">
        <v>1.1599999999999999</v>
      </c>
      <c r="AA37" s="420">
        <v>1.1599999999999999</v>
      </c>
      <c r="AB37" s="411" t="e">
        <f t="shared" si="2"/>
        <v>#REF!</v>
      </c>
      <c r="AC37" s="411"/>
      <c r="AD37" s="411"/>
      <c r="AE37" s="411"/>
      <c r="AF37" s="410">
        <f t="shared" si="0"/>
        <v>1.37</v>
      </c>
      <c r="AG37" s="410"/>
      <c r="AH37" s="410"/>
      <c r="AI37" s="410" t="e">
        <f t="shared" si="1"/>
        <v>#REF!</v>
      </c>
      <c r="AJ37" s="410"/>
      <c r="AK37" s="410"/>
      <c r="AL37" s="410"/>
      <c r="AM37" s="410"/>
      <c r="AN37" s="410"/>
      <c r="AO37" s="98"/>
      <c r="AP37" s="101"/>
    </row>
    <row r="38" spans="1:43" ht="42.75" customHeight="1">
      <c r="A38" s="13"/>
      <c r="B38" s="116" t="s">
        <v>255</v>
      </c>
      <c r="C38" s="520">
        <v>93589</v>
      </c>
      <c r="D38" s="520">
        <v>93589</v>
      </c>
      <c r="E38" s="406" t="s">
        <v>105</v>
      </c>
      <c r="F38" s="406"/>
      <c r="G38" s="429" t="s">
        <v>109</v>
      </c>
      <c r="H38" s="429"/>
      <c r="I38" s="429"/>
      <c r="J38" s="429"/>
      <c r="K38" s="429"/>
      <c r="L38" s="429"/>
      <c r="M38" s="429"/>
      <c r="N38" s="429"/>
      <c r="O38" s="429"/>
      <c r="P38" s="429"/>
      <c r="Q38" s="429"/>
      <c r="R38" s="429"/>
      <c r="S38" s="429"/>
      <c r="T38" s="406" t="s">
        <v>147</v>
      </c>
      <c r="U38" s="406" t="s">
        <v>147</v>
      </c>
      <c r="V38" s="413" t="e">
        <f>'MEMORIA DE CÁLCULO'!#REF!</f>
        <v>#REF!</v>
      </c>
      <c r="W38" s="413"/>
      <c r="X38" s="413"/>
      <c r="Y38" s="420">
        <v>0.97</v>
      </c>
      <c r="Z38" s="420">
        <v>0.97</v>
      </c>
      <c r="AA38" s="420">
        <v>0.97</v>
      </c>
      <c r="AB38" s="411" t="e">
        <f t="shared" si="2"/>
        <v>#REF!</v>
      </c>
      <c r="AC38" s="411"/>
      <c r="AD38" s="411"/>
      <c r="AE38" s="411"/>
      <c r="AF38" s="410">
        <f t="shared" si="0"/>
        <v>1.25</v>
      </c>
      <c r="AG38" s="410"/>
      <c r="AH38" s="410"/>
      <c r="AI38" s="410" t="e">
        <f t="shared" si="1"/>
        <v>#REF!</v>
      </c>
      <c r="AJ38" s="410"/>
      <c r="AK38" s="410"/>
      <c r="AL38" s="410"/>
      <c r="AM38" s="410"/>
      <c r="AN38" s="410"/>
      <c r="AO38" s="102"/>
      <c r="AP38" s="97"/>
    </row>
    <row r="39" spans="1:43" ht="27" customHeight="1">
      <c r="A39" s="13"/>
      <c r="B39" s="116" t="s">
        <v>256</v>
      </c>
      <c r="C39" s="520">
        <v>72911</v>
      </c>
      <c r="D39" s="520">
        <v>72911</v>
      </c>
      <c r="E39" s="406" t="s">
        <v>105</v>
      </c>
      <c r="F39" s="406"/>
      <c r="G39" s="429" t="s">
        <v>108</v>
      </c>
      <c r="H39" s="429"/>
      <c r="I39" s="429"/>
      <c r="J39" s="429"/>
      <c r="K39" s="429"/>
      <c r="L39" s="429"/>
      <c r="M39" s="429"/>
      <c r="N39" s="429"/>
      <c r="O39" s="429"/>
      <c r="P39" s="429"/>
      <c r="Q39" s="429"/>
      <c r="R39" s="429"/>
      <c r="S39" s="429"/>
      <c r="T39" s="406" t="s">
        <v>146</v>
      </c>
      <c r="U39" s="406" t="s">
        <v>146</v>
      </c>
      <c r="V39" s="413" t="e">
        <f>'MEMORIA DE CÁLCULO'!#REF!</f>
        <v>#REF!</v>
      </c>
      <c r="W39" s="413"/>
      <c r="X39" s="413"/>
      <c r="Y39" s="420">
        <v>8.4700000000000006</v>
      </c>
      <c r="Z39" s="420">
        <v>8.7899999999999991</v>
      </c>
      <c r="AA39" s="420">
        <v>8.7899999999999991</v>
      </c>
      <c r="AB39" s="411" t="e">
        <f t="shared" si="2"/>
        <v>#REF!</v>
      </c>
      <c r="AC39" s="411"/>
      <c r="AD39" s="411"/>
      <c r="AE39" s="411"/>
      <c r="AF39" s="410">
        <f t="shared" si="0"/>
        <v>10.93</v>
      </c>
      <c r="AG39" s="410"/>
      <c r="AH39" s="410"/>
      <c r="AI39" s="410" t="e">
        <f t="shared" si="1"/>
        <v>#REF!</v>
      </c>
      <c r="AJ39" s="410"/>
      <c r="AK39" s="410"/>
      <c r="AL39" s="410"/>
      <c r="AM39" s="410"/>
      <c r="AN39" s="410"/>
    </row>
    <row r="40" spans="1:43" ht="12" customHeight="1">
      <c r="A40" s="13"/>
      <c r="B40" s="116"/>
      <c r="C40" s="425" t="s">
        <v>218</v>
      </c>
      <c r="D40" s="426"/>
      <c r="E40" s="426"/>
      <c r="F40" s="426"/>
      <c r="G40" s="426"/>
      <c r="H40" s="426"/>
      <c r="I40" s="426"/>
      <c r="J40" s="426"/>
      <c r="K40" s="426"/>
      <c r="L40" s="426"/>
      <c r="M40" s="426"/>
      <c r="N40" s="426"/>
      <c r="O40" s="426"/>
      <c r="P40" s="426"/>
      <c r="Q40" s="426"/>
      <c r="R40" s="426"/>
      <c r="S40" s="426"/>
      <c r="T40" s="426"/>
      <c r="U40" s="426"/>
      <c r="V40" s="426"/>
      <c r="W40" s="426"/>
      <c r="X40" s="426"/>
      <c r="Y40" s="426"/>
      <c r="Z40" s="426"/>
      <c r="AA40" s="426"/>
      <c r="AB40" s="426"/>
      <c r="AC40" s="426"/>
      <c r="AD40" s="426"/>
      <c r="AE40" s="426"/>
      <c r="AF40" s="426"/>
      <c r="AG40" s="426"/>
      <c r="AH40" s="427"/>
      <c r="AI40" s="422" t="e">
        <f>SUM(AI36:AN39)</f>
        <v>#REF!</v>
      </c>
      <c r="AJ40" s="423"/>
      <c r="AK40" s="423"/>
      <c r="AL40" s="423"/>
      <c r="AM40" s="423"/>
      <c r="AN40" s="424"/>
    </row>
    <row r="41" spans="1:43" ht="17.25" customHeight="1">
      <c r="A41" s="13"/>
      <c r="B41" s="115">
        <v>3</v>
      </c>
      <c r="C41" s="521"/>
      <c r="D41" s="522"/>
      <c r="E41" s="522"/>
      <c r="F41" s="523"/>
      <c r="G41" s="535" t="s">
        <v>231</v>
      </c>
      <c r="H41" s="536"/>
      <c r="I41" s="536"/>
      <c r="J41" s="536"/>
      <c r="K41" s="536"/>
      <c r="L41" s="536"/>
      <c r="M41" s="536"/>
      <c r="N41" s="536"/>
      <c r="O41" s="536"/>
      <c r="P41" s="536"/>
      <c r="Q41" s="536"/>
      <c r="R41" s="536"/>
      <c r="S41" s="536"/>
      <c r="T41" s="536"/>
      <c r="U41" s="536"/>
      <c r="V41" s="536"/>
      <c r="W41" s="536"/>
      <c r="X41" s="536"/>
      <c r="Y41" s="536"/>
      <c r="Z41" s="536"/>
      <c r="AA41" s="536"/>
      <c r="AB41" s="536" t="str">
        <f t="shared" si="2"/>
        <v/>
      </c>
      <c r="AC41" s="536"/>
      <c r="AD41" s="536"/>
      <c r="AE41" s="536"/>
      <c r="AF41" s="536" t="str">
        <f t="shared" si="0"/>
        <v/>
      </c>
      <c r="AG41" s="536"/>
      <c r="AH41" s="536"/>
      <c r="AI41" s="536" t="str">
        <f t="shared" si="1"/>
        <v/>
      </c>
      <c r="AJ41" s="536"/>
      <c r="AK41" s="536"/>
      <c r="AL41" s="536"/>
      <c r="AM41" s="536"/>
      <c r="AN41" s="537"/>
      <c r="AP41" s="95"/>
      <c r="AQ41" s="94"/>
    </row>
    <row r="42" spans="1:43" ht="27" customHeight="1">
      <c r="A42" s="13"/>
      <c r="B42" s="116" t="s">
        <v>257</v>
      </c>
      <c r="C42" s="520">
        <v>72945</v>
      </c>
      <c r="D42" s="520">
        <v>72945</v>
      </c>
      <c r="E42" s="406" t="s">
        <v>105</v>
      </c>
      <c r="F42" s="406"/>
      <c r="G42" s="429" t="s">
        <v>111</v>
      </c>
      <c r="H42" s="429"/>
      <c r="I42" s="429"/>
      <c r="J42" s="429"/>
      <c r="K42" s="429"/>
      <c r="L42" s="429"/>
      <c r="M42" s="429"/>
      <c r="N42" s="429"/>
      <c r="O42" s="429"/>
      <c r="P42" s="429"/>
      <c r="Q42" s="429"/>
      <c r="R42" s="429"/>
      <c r="S42" s="429"/>
      <c r="T42" s="406" t="s">
        <v>145</v>
      </c>
      <c r="U42" s="406" t="s">
        <v>145</v>
      </c>
      <c r="V42" s="413" t="e">
        <f>'MEMORIA DE CÁLCULO'!#REF!</f>
        <v>#REF!</v>
      </c>
      <c r="W42" s="413"/>
      <c r="X42" s="413"/>
      <c r="Y42" s="420">
        <v>4.17</v>
      </c>
      <c r="Z42" s="420">
        <v>4.9000000000000004</v>
      </c>
      <c r="AA42" s="420">
        <v>4.9000000000000004</v>
      </c>
      <c r="AB42" s="411" t="e">
        <f t="shared" si="2"/>
        <v>#REF!</v>
      </c>
      <c r="AC42" s="411"/>
      <c r="AD42" s="411"/>
      <c r="AE42" s="411"/>
      <c r="AF42" s="410">
        <f t="shared" si="0"/>
        <v>5.38</v>
      </c>
      <c r="AG42" s="410"/>
      <c r="AH42" s="410"/>
      <c r="AI42" s="410" t="e">
        <f t="shared" si="1"/>
        <v>#REF!</v>
      </c>
      <c r="AJ42" s="410"/>
      <c r="AK42" s="410"/>
      <c r="AL42" s="410"/>
      <c r="AM42" s="410"/>
      <c r="AN42" s="410"/>
    </row>
    <row r="43" spans="1:43" ht="52.5" customHeight="1">
      <c r="A43" s="13"/>
      <c r="B43" s="116" t="s">
        <v>258</v>
      </c>
      <c r="C43" s="520">
        <v>93176</v>
      </c>
      <c r="D43" s="520">
        <v>93176</v>
      </c>
      <c r="E43" s="406" t="s">
        <v>105</v>
      </c>
      <c r="F43" s="406"/>
      <c r="G43" s="429" t="s">
        <v>112</v>
      </c>
      <c r="H43" s="429"/>
      <c r="I43" s="429"/>
      <c r="J43" s="429"/>
      <c r="K43" s="429"/>
      <c r="L43" s="429"/>
      <c r="M43" s="429"/>
      <c r="N43" s="429"/>
      <c r="O43" s="429"/>
      <c r="P43" s="429"/>
      <c r="Q43" s="429"/>
      <c r="R43" s="429"/>
      <c r="S43" s="429"/>
      <c r="T43" s="406" t="s">
        <v>148</v>
      </c>
      <c r="U43" s="406" t="s">
        <v>148</v>
      </c>
      <c r="V43" s="413" t="e">
        <f>'MEMORIA DE CÁLCULO'!#REF!</f>
        <v>#REF!</v>
      </c>
      <c r="W43" s="413"/>
      <c r="X43" s="413"/>
      <c r="Y43" s="420">
        <v>0.38</v>
      </c>
      <c r="Z43" s="420">
        <v>0.39</v>
      </c>
      <c r="AA43" s="420">
        <v>0.39</v>
      </c>
      <c r="AB43" s="411" t="e">
        <f t="shared" si="2"/>
        <v>#REF!</v>
      </c>
      <c r="AC43" s="411"/>
      <c r="AD43" s="411"/>
      <c r="AE43" s="411"/>
      <c r="AF43" s="410">
        <f t="shared" si="0"/>
        <v>0.49</v>
      </c>
      <c r="AG43" s="410"/>
      <c r="AH43" s="410"/>
      <c r="AI43" s="410" t="e">
        <f t="shared" si="1"/>
        <v>#REF!</v>
      </c>
      <c r="AJ43" s="410"/>
      <c r="AK43" s="410"/>
      <c r="AL43" s="410"/>
      <c r="AM43" s="410"/>
      <c r="AN43" s="410"/>
    </row>
    <row r="44" spans="1:43" ht="30.75" customHeight="1">
      <c r="A44" s="13"/>
      <c r="B44" s="116" t="s">
        <v>259</v>
      </c>
      <c r="C44" s="520">
        <v>72943</v>
      </c>
      <c r="D44" s="520">
        <v>72943</v>
      </c>
      <c r="E44" s="406" t="s">
        <v>105</v>
      </c>
      <c r="F44" s="406"/>
      <c r="G44" s="429" t="s">
        <v>113</v>
      </c>
      <c r="H44" s="429"/>
      <c r="I44" s="429"/>
      <c r="J44" s="429"/>
      <c r="K44" s="429"/>
      <c r="L44" s="429"/>
      <c r="M44" s="429"/>
      <c r="N44" s="429"/>
      <c r="O44" s="429"/>
      <c r="P44" s="429"/>
      <c r="Q44" s="429"/>
      <c r="R44" s="429"/>
      <c r="S44" s="429"/>
      <c r="T44" s="406" t="s">
        <v>145</v>
      </c>
      <c r="U44" s="406" t="s">
        <v>145</v>
      </c>
      <c r="V44" s="413" t="e">
        <f>'MEMORIA DE CÁLCULO'!#REF!</f>
        <v>#REF!</v>
      </c>
      <c r="W44" s="413"/>
      <c r="X44" s="413"/>
      <c r="Y44" s="420">
        <v>1.21</v>
      </c>
      <c r="Z44" s="420">
        <v>1.28</v>
      </c>
      <c r="AA44" s="420">
        <v>1.28</v>
      </c>
      <c r="AB44" s="411" t="e">
        <f t="shared" si="2"/>
        <v>#REF!</v>
      </c>
      <c r="AC44" s="411"/>
      <c r="AD44" s="411"/>
      <c r="AE44" s="411"/>
      <c r="AF44" s="410">
        <f t="shared" si="0"/>
        <v>1.56</v>
      </c>
      <c r="AG44" s="410"/>
      <c r="AH44" s="410"/>
      <c r="AI44" s="410" t="e">
        <f t="shared" si="1"/>
        <v>#REF!</v>
      </c>
      <c r="AJ44" s="410"/>
      <c r="AK44" s="410"/>
      <c r="AL44" s="410"/>
      <c r="AM44" s="410"/>
      <c r="AN44" s="410"/>
    </row>
    <row r="45" spans="1:43" ht="60" customHeight="1">
      <c r="A45" s="13"/>
      <c r="B45" s="116" t="s">
        <v>260</v>
      </c>
      <c r="C45" s="520">
        <v>93176</v>
      </c>
      <c r="D45" s="520">
        <v>93176</v>
      </c>
      <c r="E45" s="406" t="s">
        <v>105</v>
      </c>
      <c r="F45" s="406"/>
      <c r="G45" s="429" t="s">
        <v>114</v>
      </c>
      <c r="H45" s="429"/>
      <c r="I45" s="429"/>
      <c r="J45" s="429"/>
      <c r="K45" s="429"/>
      <c r="L45" s="429"/>
      <c r="M45" s="429"/>
      <c r="N45" s="429"/>
      <c r="O45" s="429"/>
      <c r="P45" s="429"/>
      <c r="Q45" s="429"/>
      <c r="R45" s="429"/>
      <c r="S45" s="429"/>
      <c r="T45" s="406" t="s">
        <v>148</v>
      </c>
      <c r="U45" s="406" t="s">
        <v>148</v>
      </c>
      <c r="V45" s="413" t="e">
        <f>'MEMORIA DE CÁLCULO'!#REF!</f>
        <v>#REF!</v>
      </c>
      <c r="W45" s="413"/>
      <c r="X45" s="413"/>
      <c r="Y45" s="420">
        <v>0.38</v>
      </c>
      <c r="Z45" s="420">
        <v>0.39</v>
      </c>
      <c r="AA45" s="420">
        <v>0.39</v>
      </c>
      <c r="AB45" s="411" t="e">
        <f t="shared" si="2"/>
        <v>#REF!</v>
      </c>
      <c r="AC45" s="411"/>
      <c r="AD45" s="411"/>
      <c r="AE45" s="411"/>
      <c r="AF45" s="410">
        <f t="shared" si="0"/>
        <v>0.49</v>
      </c>
      <c r="AG45" s="410"/>
      <c r="AH45" s="410"/>
      <c r="AI45" s="410" t="e">
        <f t="shared" si="1"/>
        <v>#REF!</v>
      </c>
      <c r="AJ45" s="410"/>
      <c r="AK45" s="410"/>
      <c r="AL45" s="410"/>
      <c r="AM45" s="410"/>
      <c r="AN45" s="410"/>
    </row>
    <row r="46" spans="1:43" ht="43.5" customHeight="1">
      <c r="A46" s="13"/>
      <c r="B46" s="116" t="s">
        <v>261</v>
      </c>
      <c r="C46" s="520" t="s">
        <v>244</v>
      </c>
      <c r="D46" s="520">
        <v>72964</v>
      </c>
      <c r="E46" s="406" t="s">
        <v>105</v>
      </c>
      <c r="F46" s="406"/>
      <c r="G46" s="429" t="s">
        <v>245</v>
      </c>
      <c r="H46" s="429"/>
      <c r="I46" s="429"/>
      <c r="J46" s="429"/>
      <c r="K46" s="429"/>
      <c r="L46" s="429"/>
      <c r="M46" s="429"/>
      <c r="N46" s="429"/>
      <c r="O46" s="429"/>
      <c r="P46" s="429"/>
      <c r="Q46" s="429"/>
      <c r="R46" s="429"/>
      <c r="S46" s="429"/>
      <c r="T46" s="406" t="s">
        <v>153</v>
      </c>
      <c r="U46" s="406" t="s">
        <v>149</v>
      </c>
      <c r="V46" s="413" t="e">
        <f>'MEMORIA DE CÁLCULO'!#REF!</f>
        <v>#REF!</v>
      </c>
      <c r="W46" s="413"/>
      <c r="X46" s="413"/>
      <c r="Y46" s="420">
        <v>322.20999999999998</v>
      </c>
      <c r="Z46" s="420">
        <v>164.48</v>
      </c>
      <c r="AA46" s="420">
        <v>164.48</v>
      </c>
      <c r="AB46" s="411" t="e">
        <f t="shared" si="2"/>
        <v>#REF!</v>
      </c>
      <c r="AC46" s="411"/>
      <c r="AD46" s="411"/>
      <c r="AE46" s="411"/>
      <c r="AF46" s="410">
        <f t="shared" si="0"/>
        <v>415.78</v>
      </c>
      <c r="AG46" s="410"/>
      <c r="AH46" s="410"/>
      <c r="AI46" s="410" t="e">
        <f t="shared" si="1"/>
        <v>#REF!</v>
      </c>
      <c r="AJ46" s="410"/>
      <c r="AK46" s="410"/>
      <c r="AL46" s="410"/>
      <c r="AM46" s="410"/>
      <c r="AN46" s="410"/>
    </row>
    <row r="47" spans="1:43" ht="35.25" customHeight="1">
      <c r="A47" s="13"/>
      <c r="B47" s="116" t="s">
        <v>262</v>
      </c>
      <c r="C47" s="520">
        <v>95303</v>
      </c>
      <c r="D47" s="520">
        <v>95303</v>
      </c>
      <c r="E47" s="406" t="s">
        <v>105</v>
      </c>
      <c r="F47" s="406"/>
      <c r="G47" s="429" t="s">
        <v>115</v>
      </c>
      <c r="H47" s="429"/>
      <c r="I47" s="429"/>
      <c r="J47" s="429"/>
      <c r="K47" s="429"/>
      <c r="L47" s="429"/>
      <c r="M47" s="429"/>
      <c r="N47" s="429"/>
      <c r="O47" s="429"/>
      <c r="P47" s="429"/>
      <c r="Q47" s="429"/>
      <c r="R47" s="429"/>
      <c r="S47" s="429"/>
      <c r="T47" s="406" t="s">
        <v>150</v>
      </c>
      <c r="U47" s="406" t="s">
        <v>150</v>
      </c>
      <c r="V47" s="413" t="e">
        <f>'MEMORIA DE CÁLCULO'!#REF!</f>
        <v>#REF!</v>
      </c>
      <c r="W47" s="413"/>
      <c r="X47" s="413"/>
      <c r="Y47" s="420">
        <v>0.8</v>
      </c>
      <c r="Z47" s="420">
        <v>0.81</v>
      </c>
      <c r="AA47" s="420">
        <v>0.81</v>
      </c>
      <c r="AB47" s="411" t="e">
        <f t="shared" si="2"/>
        <v>#REF!</v>
      </c>
      <c r="AC47" s="411"/>
      <c r="AD47" s="411"/>
      <c r="AE47" s="411"/>
      <c r="AF47" s="410">
        <f t="shared" si="0"/>
        <v>1.03</v>
      </c>
      <c r="AG47" s="410"/>
      <c r="AH47" s="410"/>
      <c r="AI47" s="410" t="e">
        <f t="shared" si="1"/>
        <v>#REF!</v>
      </c>
      <c r="AJ47" s="410"/>
      <c r="AK47" s="410"/>
      <c r="AL47" s="410"/>
      <c r="AM47" s="410"/>
      <c r="AN47" s="410"/>
    </row>
    <row r="48" spans="1:43" ht="60.75" customHeight="1">
      <c r="A48" s="13"/>
      <c r="B48" s="116" t="s">
        <v>263</v>
      </c>
      <c r="C48" s="520">
        <v>93176</v>
      </c>
      <c r="D48" s="520">
        <v>93176</v>
      </c>
      <c r="E48" s="406" t="s">
        <v>105</v>
      </c>
      <c r="F48" s="406"/>
      <c r="G48" s="429" t="s">
        <v>116</v>
      </c>
      <c r="H48" s="429"/>
      <c r="I48" s="429"/>
      <c r="J48" s="429"/>
      <c r="K48" s="429"/>
      <c r="L48" s="429"/>
      <c r="M48" s="429"/>
      <c r="N48" s="429"/>
      <c r="O48" s="429"/>
      <c r="P48" s="429"/>
      <c r="Q48" s="429"/>
      <c r="R48" s="429"/>
      <c r="S48" s="429"/>
      <c r="T48" s="406" t="s">
        <v>148</v>
      </c>
      <c r="U48" s="406" t="s">
        <v>148</v>
      </c>
      <c r="V48" s="413" t="e">
        <f>'MEMORIA DE CÁLCULO'!#REF!</f>
        <v>#REF!</v>
      </c>
      <c r="W48" s="413"/>
      <c r="X48" s="413"/>
      <c r="Y48" s="420">
        <v>0.38</v>
      </c>
      <c r="Z48" s="420">
        <v>0.39</v>
      </c>
      <c r="AA48" s="420">
        <v>0.39</v>
      </c>
      <c r="AB48" s="411" t="e">
        <f t="shared" si="2"/>
        <v>#REF!</v>
      </c>
      <c r="AC48" s="411"/>
      <c r="AD48" s="411"/>
      <c r="AE48" s="411"/>
      <c r="AF48" s="410">
        <f t="shared" si="0"/>
        <v>0.49</v>
      </c>
      <c r="AG48" s="410"/>
      <c r="AH48" s="410"/>
      <c r="AI48" s="410" t="e">
        <f t="shared" si="1"/>
        <v>#REF!</v>
      </c>
      <c r="AJ48" s="410"/>
      <c r="AK48" s="410"/>
      <c r="AL48" s="410"/>
      <c r="AM48" s="410"/>
      <c r="AN48" s="410"/>
    </row>
    <row r="49" spans="1:48" ht="33.75" customHeight="1">
      <c r="A49" s="13"/>
      <c r="B49" s="116" t="s">
        <v>264</v>
      </c>
      <c r="C49" s="520">
        <v>95302</v>
      </c>
      <c r="D49" s="520">
        <v>95302</v>
      </c>
      <c r="E49" s="406" t="s">
        <v>105</v>
      </c>
      <c r="F49" s="406"/>
      <c r="G49" s="429" t="s">
        <v>117</v>
      </c>
      <c r="H49" s="429"/>
      <c r="I49" s="429"/>
      <c r="J49" s="429"/>
      <c r="K49" s="429"/>
      <c r="L49" s="429"/>
      <c r="M49" s="429"/>
      <c r="N49" s="429"/>
      <c r="O49" s="429"/>
      <c r="P49" s="429"/>
      <c r="Q49" s="429"/>
      <c r="R49" s="429"/>
      <c r="S49" s="429"/>
      <c r="T49" s="406" t="s">
        <v>147</v>
      </c>
      <c r="U49" s="406" t="s">
        <v>147</v>
      </c>
      <c r="V49" s="413" t="e">
        <f>'MEMORIA DE CÁLCULO'!#REF!</f>
        <v>#REF!</v>
      </c>
      <c r="W49" s="413"/>
      <c r="X49" s="413"/>
      <c r="Y49" s="420">
        <v>1.1599999999999999</v>
      </c>
      <c r="Z49" s="420">
        <v>1.18</v>
      </c>
      <c r="AA49" s="420">
        <v>1.18</v>
      </c>
      <c r="AB49" s="411" t="e">
        <f t="shared" si="2"/>
        <v>#REF!</v>
      </c>
      <c r="AC49" s="411"/>
      <c r="AD49" s="411"/>
      <c r="AE49" s="411"/>
      <c r="AF49" s="410">
        <f t="shared" si="0"/>
        <v>1.5</v>
      </c>
      <c r="AG49" s="410"/>
      <c r="AH49" s="410"/>
      <c r="AI49" s="410" t="e">
        <f t="shared" si="1"/>
        <v>#REF!</v>
      </c>
      <c r="AJ49" s="410"/>
      <c r="AK49" s="410"/>
      <c r="AL49" s="410"/>
      <c r="AM49" s="410"/>
      <c r="AN49" s="410"/>
    </row>
    <row r="50" spans="1:48" ht="28.5" customHeight="1">
      <c r="A50" s="13"/>
      <c r="B50" s="116" t="s">
        <v>265</v>
      </c>
      <c r="C50" s="520">
        <v>83356</v>
      </c>
      <c r="D50" s="520">
        <v>83356</v>
      </c>
      <c r="E50" s="406" t="s">
        <v>105</v>
      </c>
      <c r="F50" s="406"/>
      <c r="G50" s="429" t="s">
        <v>118</v>
      </c>
      <c r="H50" s="429"/>
      <c r="I50" s="429"/>
      <c r="J50" s="429"/>
      <c r="K50" s="429"/>
      <c r="L50" s="429"/>
      <c r="M50" s="429"/>
      <c r="N50" s="429"/>
      <c r="O50" s="429"/>
      <c r="P50" s="429"/>
      <c r="Q50" s="429"/>
      <c r="R50" s="429"/>
      <c r="S50" s="429"/>
      <c r="T50" s="406" t="s">
        <v>147</v>
      </c>
      <c r="U50" s="406" t="s">
        <v>147</v>
      </c>
      <c r="V50" s="413" t="e">
        <f>'MEMORIA DE CÁLCULO'!#REF!</f>
        <v>#REF!</v>
      </c>
      <c r="W50" s="413"/>
      <c r="X50" s="413"/>
      <c r="Y50" s="420">
        <v>0.63</v>
      </c>
      <c r="Z50" s="420">
        <v>0.63</v>
      </c>
      <c r="AA50" s="420">
        <v>0.63</v>
      </c>
      <c r="AB50" s="411" t="e">
        <f t="shared" si="2"/>
        <v>#REF!</v>
      </c>
      <c r="AC50" s="411"/>
      <c r="AD50" s="411"/>
      <c r="AE50" s="411"/>
      <c r="AF50" s="410">
        <f t="shared" si="0"/>
        <v>0.81</v>
      </c>
      <c r="AG50" s="410"/>
      <c r="AH50" s="410"/>
      <c r="AI50" s="410" t="e">
        <f t="shared" si="1"/>
        <v>#REF!</v>
      </c>
      <c r="AJ50" s="410"/>
      <c r="AK50" s="410"/>
      <c r="AL50" s="410"/>
      <c r="AM50" s="410"/>
      <c r="AN50" s="410"/>
    </row>
    <row r="51" spans="1:48" ht="12" customHeight="1">
      <c r="A51" s="13"/>
      <c r="B51" s="116"/>
      <c r="C51" s="425" t="s">
        <v>218</v>
      </c>
      <c r="D51" s="426"/>
      <c r="E51" s="426"/>
      <c r="F51" s="426"/>
      <c r="G51" s="426"/>
      <c r="H51" s="426"/>
      <c r="I51" s="426"/>
      <c r="J51" s="426"/>
      <c r="K51" s="426"/>
      <c r="L51" s="426"/>
      <c r="M51" s="426"/>
      <c r="N51" s="426"/>
      <c r="O51" s="426"/>
      <c r="P51" s="426"/>
      <c r="Q51" s="426"/>
      <c r="R51" s="426"/>
      <c r="S51" s="426"/>
      <c r="T51" s="426"/>
      <c r="U51" s="426"/>
      <c r="V51" s="426"/>
      <c r="W51" s="426"/>
      <c r="X51" s="426"/>
      <c r="Y51" s="426"/>
      <c r="Z51" s="426"/>
      <c r="AA51" s="426"/>
      <c r="AB51" s="426"/>
      <c r="AC51" s="426"/>
      <c r="AD51" s="426"/>
      <c r="AE51" s="426"/>
      <c r="AF51" s="426"/>
      <c r="AG51" s="426"/>
      <c r="AH51" s="427"/>
      <c r="AI51" s="422" t="e">
        <f>SUM(AI42:AN50)</f>
        <v>#REF!</v>
      </c>
      <c r="AJ51" s="423"/>
      <c r="AK51" s="423"/>
      <c r="AL51" s="423"/>
      <c r="AM51" s="423"/>
      <c r="AN51" s="424"/>
    </row>
    <row r="52" spans="1:48" ht="17.25" customHeight="1">
      <c r="A52" s="13"/>
      <c r="B52" s="115">
        <v>4</v>
      </c>
      <c r="C52" s="521"/>
      <c r="D52" s="522"/>
      <c r="E52" s="522"/>
      <c r="F52" s="523"/>
      <c r="G52" s="535" t="s">
        <v>119</v>
      </c>
      <c r="H52" s="536"/>
      <c r="I52" s="536"/>
      <c r="J52" s="536"/>
      <c r="K52" s="536"/>
      <c r="L52" s="536"/>
      <c r="M52" s="536"/>
      <c r="N52" s="536"/>
      <c r="O52" s="536"/>
      <c r="P52" s="536"/>
      <c r="Q52" s="536"/>
      <c r="R52" s="536"/>
      <c r="S52" s="536"/>
      <c r="T52" s="536"/>
      <c r="U52" s="536"/>
      <c r="V52" s="536"/>
      <c r="W52" s="536"/>
      <c r="X52" s="536"/>
      <c r="Y52" s="536"/>
      <c r="Z52" s="536"/>
      <c r="AA52" s="536"/>
      <c r="AB52" s="536" t="str">
        <f t="shared" si="2"/>
        <v/>
      </c>
      <c r="AC52" s="536"/>
      <c r="AD52" s="536"/>
      <c r="AE52" s="536"/>
      <c r="AF52" s="536" t="str">
        <f t="shared" si="0"/>
        <v/>
      </c>
      <c r="AG52" s="536"/>
      <c r="AH52" s="536"/>
      <c r="AI52" s="536" t="str">
        <f t="shared" si="1"/>
        <v/>
      </c>
      <c r="AJ52" s="536"/>
      <c r="AK52" s="536"/>
      <c r="AL52" s="536"/>
      <c r="AM52" s="536"/>
      <c r="AN52" s="537"/>
      <c r="AP52" s="95"/>
      <c r="AQ52" s="94"/>
    </row>
    <row r="53" spans="1:48" ht="47.25" customHeight="1">
      <c r="A53" s="13"/>
      <c r="B53" s="116" t="s">
        <v>266</v>
      </c>
      <c r="C53" s="406">
        <v>94269</v>
      </c>
      <c r="D53" s="406"/>
      <c r="E53" s="406" t="s">
        <v>105</v>
      </c>
      <c r="F53" s="406"/>
      <c r="G53" s="429" t="s">
        <v>120</v>
      </c>
      <c r="H53" s="429"/>
      <c r="I53" s="429"/>
      <c r="J53" s="429"/>
      <c r="K53" s="429"/>
      <c r="L53" s="429"/>
      <c r="M53" s="429"/>
      <c r="N53" s="429"/>
      <c r="O53" s="429"/>
      <c r="P53" s="429"/>
      <c r="Q53" s="429"/>
      <c r="R53" s="429"/>
      <c r="S53" s="429"/>
      <c r="T53" s="428" t="s">
        <v>151</v>
      </c>
      <c r="U53" s="428"/>
      <c r="V53" s="413" t="e">
        <f>'MEMORIA DE CÁLCULO'!#REF!</f>
        <v>#REF!</v>
      </c>
      <c r="W53" s="413"/>
      <c r="X53" s="413"/>
      <c r="Y53" s="420">
        <v>38.11</v>
      </c>
      <c r="Z53" s="420"/>
      <c r="AA53" s="420"/>
      <c r="AB53" s="411" t="e">
        <f t="shared" si="2"/>
        <v>#REF!</v>
      </c>
      <c r="AC53" s="411"/>
      <c r="AD53" s="411"/>
      <c r="AE53" s="411"/>
      <c r="AF53" s="410">
        <f t="shared" si="0"/>
        <v>49.18</v>
      </c>
      <c r="AG53" s="410"/>
      <c r="AH53" s="410"/>
      <c r="AI53" s="410" t="e">
        <f t="shared" si="1"/>
        <v>#REF!</v>
      </c>
      <c r="AJ53" s="410"/>
      <c r="AK53" s="410"/>
      <c r="AL53" s="410"/>
      <c r="AM53" s="410"/>
      <c r="AN53" s="410"/>
    </row>
    <row r="54" spans="1:48" ht="12" customHeight="1">
      <c r="A54" s="13"/>
      <c r="B54" s="116"/>
      <c r="C54" s="425" t="s">
        <v>218</v>
      </c>
      <c r="D54" s="426"/>
      <c r="E54" s="426"/>
      <c r="F54" s="426"/>
      <c r="G54" s="426"/>
      <c r="H54" s="426"/>
      <c r="I54" s="426"/>
      <c r="J54" s="426"/>
      <c r="K54" s="426"/>
      <c r="L54" s="426"/>
      <c r="M54" s="426"/>
      <c r="N54" s="426"/>
      <c r="O54" s="426"/>
      <c r="P54" s="426"/>
      <c r="Q54" s="426"/>
      <c r="R54" s="426"/>
      <c r="S54" s="426"/>
      <c r="T54" s="426"/>
      <c r="U54" s="426"/>
      <c r="V54" s="426"/>
      <c r="W54" s="426"/>
      <c r="X54" s="426"/>
      <c r="Y54" s="426"/>
      <c r="Z54" s="426"/>
      <c r="AA54" s="426"/>
      <c r="AB54" s="426"/>
      <c r="AC54" s="426"/>
      <c r="AD54" s="426"/>
      <c r="AE54" s="426"/>
      <c r="AF54" s="426"/>
      <c r="AG54" s="426"/>
      <c r="AH54" s="427"/>
      <c r="AI54" s="422" t="e">
        <f>SUM(AI53)</f>
        <v>#REF!</v>
      </c>
      <c r="AJ54" s="423"/>
      <c r="AK54" s="423"/>
      <c r="AL54" s="423"/>
      <c r="AM54" s="423"/>
      <c r="AN54" s="424"/>
    </row>
    <row r="55" spans="1:48" ht="17.25" customHeight="1">
      <c r="A55" s="13"/>
      <c r="B55" s="115">
        <v>5</v>
      </c>
      <c r="C55" s="404"/>
      <c r="D55" s="540"/>
      <c r="E55" s="540"/>
      <c r="F55" s="405"/>
      <c r="G55" s="535" t="s">
        <v>121</v>
      </c>
      <c r="H55" s="536"/>
      <c r="I55" s="536"/>
      <c r="J55" s="536"/>
      <c r="K55" s="536"/>
      <c r="L55" s="536"/>
      <c r="M55" s="536"/>
      <c r="N55" s="536"/>
      <c r="O55" s="536"/>
      <c r="P55" s="536"/>
      <c r="Q55" s="536"/>
      <c r="R55" s="536"/>
      <c r="S55" s="536"/>
      <c r="T55" s="536"/>
      <c r="U55" s="536"/>
      <c r="V55" s="536"/>
      <c r="W55" s="536"/>
      <c r="X55" s="536"/>
      <c r="Y55" s="536"/>
      <c r="Z55" s="536"/>
      <c r="AA55" s="536"/>
      <c r="AB55" s="536" t="str">
        <f t="shared" si="2"/>
        <v/>
      </c>
      <c r="AC55" s="536"/>
      <c r="AD55" s="536"/>
      <c r="AE55" s="536"/>
      <c r="AF55" s="536" t="str">
        <f t="shared" si="0"/>
        <v/>
      </c>
      <c r="AG55" s="536"/>
      <c r="AH55" s="536"/>
      <c r="AI55" s="536" t="str">
        <f t="shared" si="1"/>
        <v/>
      </c>
      <c r="AJ55" s="536"/>
      <c r="AK55" s="536"/>
      <c r="AL55" s="536"/>
      <c r="AM55" s="536"/>
      <c r="AN55" s="537"/>
      <c r="AP55" s="95"/>
      <c r="AQ55" s="94"/>
    </row>
    <row r="56" spans="1:48" ht="22.5" customHeight="1">
      <c r="A56" s="13"/>
      <c r="B56" s="116" t="s">
        <v>267</v>
      </c>
      <c r="C56" s="404"/>
      <c r="D56" s="405"/>
      <c r="E56" s="404" t="s">
        <v>103</v>
      </c>
      <c r="F56" s="405"/>
      <c r="G56" s="429" t="s">
        <v>122</v>
      </c>
      <c r="H56" s="429"/>
      <c r="I56" s="429"/>
      <c r="J56" s="429"/>
      <c r="K56" s="429"/>
      <c r="L56" s="429"/>
      <c r="M56" s="429"/>
      <c r="N56" s="429"/>
      <c r="O56" s="429"/>
      <c r="P56" s="429"/>
      <c r="Q56" s="429"/>
      <c r="R56" s="429"/>
      <c r="S56" s="429"/>
      <c r="T56" s="428" t="s">
        <v>151</v>
      </c>
      <c r="U56" s="428"/>
      <c r="V56" s="413" t="e">
        <f>'MEMORIA DE CÁLCULO'!#REF!</f>
        <v>#REF!</v>
      </c>
      <c r="W56" s="413"/>
      <c r="X56" s="413"/>
      <c r="Y56" s="420">
        <v>32.927266333159118</v>
      </c>
      <c r="Z56" s="420"/>
      <c r="AA56" s="420"/>
      <c r="AB56" s="411" t="e">
        <f t="shared" si="2"/>
        <v>#REF!</v>
      </c>
      <c r="AC56" s="411"/>
      <c r="AD56" s="411"/>
      <c r="AE56" s="411"/>
      <c r="AF56" s="410">
        <f t="shared" si="0"/>
        <v>42.49</v>
      </c>
      <c r="AG56" s="410"/>
      <c r="AH56" s="410"/>
      <c r="AI56" s="410" t="e">
        <f t="shared" si="1"/>
        <v>#REF!</v>
      </c>
      <c r="AJ56" s="410"/>
      <c r="AK56" s="410"/>
      <c r="AL56" s="410"/>
      <c r="AM56" s="410"/>
      <c r="AN56" s="410"/>
    </row>
    <row r="57" spans="1:48" ht="12" customHeight="1">
      <c r="A57" s="13"/>
      <c r="B57" s="116"/>
      <c r="C57" s="425" t="s">
        <v>218</v>
      </c>
      <c r="D57" s="426"/>
      <c r="E57" s="426"/>
      <c r="F57" s="426"/>
      <c r="G57" s="426"/>
      <c r="H57" s="426"/>
      <c r="I57" s="426"/>
      <c r="J57" s="426"/>
      <c r="K57" s="426"/>
      <c r="L57" s="426"/>
      <c r="M57" s="426"/>
      <c r="N57" s="426"/>
      <c r="O57" s="426"/>
      <c r="P57" s="426"/>
      <c r="Q57" s="426"/>
      <c r="R57" s="426"/>
      <c r="S57" s="426"/>
      <c r="T57" s="426"/>
      <c r="U57" s="426"/>
      <c r="V57" s="426"/>
      <c r="W57" s="426"/>
      <c r="X57" s="426"/>
      <c r="Y57" s="426"/>
      <c r="Z57" s="426"/>
      <c r="AA57" s="426"/>
      <c r="AB57" s="426"/>
      <c r="AC57" s="426"/>
      <c r="AD57" s="426"/>
      <c r="AE57" s="426"/>
      <c r="AF57" s="426"/>
      <c r="AG57" s="426"/>
      <c r="AH57" s="427"/>
      <c r="AI57" s="422" t="e">
        <f>SUM(AI56)</f>
        <v>#REF!</v>
      </c>
      <c r="AJ57" s="423"/>
      <c r="AK57" s="423"/>
      <c r="AL57" s="423"/>
      <c r="AM57" s="423"/>
      <c r="AN57" s="424"/>
    </row>
    <row r="58" spans="1:48" ht="17.25" customHeight="1">
      <c r="A58" s="13"/>
      <c r="B58" s="115">
        <v>6</v>
      </c>
      <c r="C58" s="404"/>
      <c r="D58" s="540"/>
      <c r="E58" s="540"/>
      <c r="F58" s="405"/>
      <c r="G58" s="535" t="s">
        <v>123</v>
      </c>
      <c r="H58" s="536"/>
      <c r="I58" s="536"/>
      <c r="J58" s="536"/>
      <c r="K58" s="536"/>
      <c r="L58" s="536"/>
      <c r="M58" s="536"/>
      <c r="N58" s="536"/>
      <c r="O58" s="536"/>
      <c r="P58" s="536"/>
      <c r="Q58" s="536"/>
      <c r="R58" s="536"/>
      <c r="S58" s="536"/>
      <c r="T58" s="536"/>
      <c r="U58" s="536"/>
      <c r="V58" s="536"/>
      <c r="W58" s="536"/>
      <c r="X58" s="536"/>
      <c r="Y58" s="536"/>
      <c r="Z58" s="536"/>
      <c r="AA58" s="536"/>
      <c r="AB58" s="536" t="str">
        <f t="shared" si="2"/>
        <v/>
      </c>
      <c r="AC58" s="536"/>
      <c r="AD58" s="536"/>
      <c r="AE58" s="536"/>
      <c r="AF58" s="536" t="str">
        <f t="shared" si="0"/>
        <v/>
      </c>
      <c r="AG58" s="536"/>
      <c r="AH58" s="536"/>
      <c r="AI58" s="536" t="str">
        <f t="shared" si="1"/>
        <v/>
      </c>
      <c r="AJ58" s="536"/>
      <c r="AK58" s="536"/>
      <c r="AL58" s="536"/>
      <c r="AM58" s="536"/>
      <c r="AN58" s="537"/>
      <c r="AP58" s="95"/>
      <c r="AQ58" s="94"/>
    </row>
    <row r="59" spans="1:48" s="118" customFormat="1" ht="34.5" customHeight="1">
      <c r="A59" s="117"/>
      <c r="B59" s="116" t="s">
        <v>269</v>
      </c>
      <c r="C59" s="404">
        <v>94992</v>
      </c>
      <c r="D59" s="405">
        <v>94992</v>
      </c>
      <c r="E59" s="404" t="s">
        <v>105</v>
      </c>
      <c r="F59" s="405"/>
      <c r="G59" s="429" t="s">
        <v>124</v>
      </c>
      <c r="H59" s="429"/>
      <c r="I59" s="429"/>
      <c r="J59" s="429"/>
      <c r="K59" s="429"/>
      <c r="L59" s="429"/>
      <c r="M59" s="429"/>
      <c r="N59" s="429"/>
      <c r="O59" s="429"/>
      <c r="P59" s="429"/>
      <c r="Q59" s="429"/>
      <c r="R59" s="429"/>
      <c r="S59" s="429"/>
      <c r="T59" s="406" t="s">
        <v>145</v>
      </c>
      <c r="U59" s="406"/>
      <c r="V59" s="413" t="e">
        <f>'MEMORIA DE CÁLCULO'!#REF!</f>
        <v>#REF!</v>
      </c>
      <c r="W59" s="413"/>
      <c r="X59" s="413"/>
      <c r="Y59" s="420">
        <v>48.14</v>
      </c>
      <c r="Z59" s="420">
        <v>50.25</v>
      </c>
      <c r="AA59" s="420">
        <v>50.25</v>
      </c>
      <c r="AB59" s="411" t="e">
        <f t="shared" si="2"/>
        <v>#REF!</v>
      </c>
      <c r="AC59" s="411"/>
      <c r="AD59" s="411"/>
      <c r="AE59" s="411"/>
      <c r="AF59" s="410">
        <f t="shared" si="0"/>
        <v>62.12</v>
      </c>
      <c r="AG59" s="410"/>
      <c r="AH59" s="410"/>
      <c r="AI59" s="410" t="e">
        <f t="shared" si="1"/>
        <v>#REF!</v>
      </c>
      <c r="AJ59" s="410"/>
      <c r="AK59" s="410"/>
      <c r="AL59" s="410"/>
      <c r="AM59" s="410"/>
      <c r="AN59" s="410"/>
      <c r="AV59" s="119"/>
    </row>
    <row r="60" spans="1:48" s="118" customFormat="1" ht="34.5" customHeight="1">
      <c r="A60" s="117"/>
      <c r="B60" s="116" t="s">
        <v>270</v>
      </c>
      <c r="C60" s="404"/>
      <c r="D60" s="405" t="s">
        <v>103</v>
      </c>
      <c r="E60" s="404" t="s">
        <v>103</v>
      </c>
      <c r="F60" s="405" t="s">
        <v>103</v>
      </c>
      <c r="G60" s="429" t="s">
        <v>125</v>
      </c>
      <c r="H60" s="429"/>
      <c r="I60" s="429"/>
      <c r="J60" s="429"/>
      <c r="K60" s="429"/>
      <c r="L60" s="429"/>
      <c r="M60" s="429"/>
      <c r="N60" s="429"/>
      <c r="O60" s="429"/>
      <c r="P60" s="429"/>
      <c r="Q60" s="429"/>
      <c r="R60" s="429"/>
      <c r="S60" s="429"/>
      <c r="T60" s="406" t="s">
        <v>145</v>
      </c>
      <c r="U60" s="406"/>
      <c r="V60" s="413">
        <f>86.1+36.9</f>
        <v>123</v>
      </c>
      <c r="W60" s="413">
        <v>13</v>
      </c>
      <c r="X60" s="413">
        <v>13</v>
      </c>
      <c r="Y60" s="420">
        <f>CPU!I138</f>
        <v>70.510999999999996</v>
      </c>
      <c r="Z60" s="420"/>
      <c r="AA60" s="420"/>
      <c r="AB60" s="421">
        <f>IF(T60="","",ROUND(V60*Y60,2))</f>
        <v>8672.85</v>
      </c>
      <c r="AC60" s="421"/>
      <c r="AD60" s="421"/>
      <c r="AE60" s="421"/>
      <c r="AF60" s="412">
        <f>IF(T60="","",ROUND(Y60*(1+$AJ$18),2))</f>
        <v>90.99</v>
      </c>
      <c r="AG60" s="412"/>
      <c r="AH60" s="412"/>
      <c r="AI60" s="412">
        <f>IF(T60="","",ROUND(V60*AF60,2))</f>
        <v>11191.77</v>
      </c>
      <c r="AJ60" s="412"/>
      <c r="AK60" s="412"/>
      <c r="AL60" s="412"/>
      <c r="AM60" s="412"/>
      <c r="AN60" s="412"/>
      <c r="AV60" s="119"/>
    </row>
    <row r="61" spans="1:48" s="118" customFormat="1" ht="51" customHeight="1">
      <c r="A61" s="117"/>
      <c r="B61" s="116" t="s">
        <v>271</v>
      </c>
      <c r="C61" s="404"/>
      <c r="D61" s="405" t="s">
        <v>103</v>
      </c>
      <c r="E61" s="404" t="s">
        <v>103</v>
      </c>
      <c r="F61" s="405" t="s">
        <v>103</v>
      </c>
      <c r="G61" s="429" t="s">
        <v>281</v>
      </c>
      <c r="H61" s="429"/>
      <c r="I61" s="429"/>
      <c r="J61" s="429"/>
      <c r="K61" s="429"/>
      <c r="L61" s="429"/>
      <c r="M61" s="429"/>
      <c r="N61" s="429"/>
      <c r="O61" s="429"/>
      <c r="P61" s="429"/>
      <c r="Q61" s="429"/>
      <c r="R61" s="429"/>
      <c r="S61" s="429"/>
      <c r="T61" s="406" t="s">
        <v>145</v>
      </c>
      <c r="U61" s="406" t="s">
        <v>145</v>
      </c>
      <c r="V61" s="413">
        <f>875.75*0.25*2</f>
        <v>437.875</v>
      </c>
      <c r="W61" s="413">
        <v>185.33</v>
      </c>
      <c r="X61" s="413">
        <v>185.33</v>
      </c>
      <c r="Y61" s="420">
        <f>CPU!I82</f>
        <v>60.074075999999998</v>
      </c>
      <c r="Z61" s="420"/>
      <c r="AA61" s="420"/>
      <c r="AB61" s="421">
        <f>IF(T61="","",ROUND(V61*Y61,2))</f>
        <v>26304.94</v>
      </c>
      <c r="AC61" s="421"/>
      <c r="AD61" s="421"/>
      <c r="AE61" s="421"/>
      <c r="AF61" s="412">
        <f>IF(T61="","",ROUND(Y61*(1+$AJ$18),2))</f>
        <v>77.52</v>
      </c>
      <c r="AG61" s="412"/>
      <c r="AH61" s="412"/>
      <c r="AI61" s="412">
        <f>IF(T61="","",ROUND(V61*AF61,2))</f>
        <v>33944.07</v>
      </c>
      <c r="AJ61" s="412"/>
      <c r="AK61" s="412"/>
      <c r="AL61" s="412"/>
      <c r="AM61" s="412"/>
      <c r="AN61" s="412"/>
      <c r="AV61" s="119"/>
    </row>
    <row r="62" spans="1:48" s="121" customFormat="1" ht="50.25" customHeight="1">
      <c r="A62" s="120"/>
      <c r="B62" s="116" t="s">
        <v>272</v>
      </c>
      <c r="C62" s="404"/>
      <c r="D62" s="405"/>
      <c r="E62" s="404" t="s">
        <v>103</v>
      </c>
      <c r="F62" s="405" t="s">
        <v>103</v>
      </c>
      <c r="G62" s="429" t="s">
        <v>282</v>
      </c>
      <c r="H62" s="429"/>
      <c r="I62" s="429"/>
      <c r="J62" s="429"/>
      <c r="K62" s="429"/>
      <c r="L62" s="429"/>
      <c r="M62" s="429"/>
      <c r="N62" s="429"/>
      <c r="O62" s="429"/>
      <c r="P62" s="429"/>
      <c r="Q62" s="429"/>
      <c r="R62" s="429"/>
      <c r="S62" s="429"/>
      <c r="T62" s="406" t="s">
        <v>145</v>
      </c>
      <c r="U62" s="406" t="s">
        <v>145</v>
      </c>
      <c r="V62" s="413">
        <f>V61*0.2</f>
        <v>87.575000000000003</v>
      </c>
      <c r="W62" s="413">
        <v>16</v>
      </c>
      <c r="X62" s="413">
        <v>16</v>
      </c>
      <c r="Y62" s="420">
        <f>CPU!I110</f>
        <v>73.774076000000008</v>
      </c>
      <c r="Z62" s="420"/>
      <c r="AA62" s="420"/>
      <c r="AB62" s="421">
        <f>IF(T62="","",ROUND(V62*Y62,2))</f>
        <v>6460.76</v>
      </c>
      <c r="AC62" s="421"/>
      <c r="AD62" s="421"/>
      <c r="AE62" s="421"/>
      <c r="AF62" s="412">
        <f>IF(T62="","",ROUND(Y62*(1+$AJ$18),2))</f>
        <v>95.2</v>
      </c>
      <c r="AG62" s="412"/>
      <c r="AH62" s="412"/>
      <c r="AI62" s="412">
        <f>IF(T62="","",ROUND(V62*AF62,2))</f>
        <v>8337.14</v>
      </c>
      <c r="AJ62" s="412"/>
      <c r="AK62" s="412"/>
      <c r="AL62" s="412"/>
      <c r="AM62" s="412"/>
      <c r="AN62" s="412"/>
      <c r="AV62" s="122"/>
    </row>
    <row r="63" spans="1:48" ht="12" customHeight="1">
      <c r="A63" s="13"/>
      <c r="B63" s="116"/>
      <c r="C63" s="425" t="s">
        <v>218</v>
      </c>
      <c r="D63" s="426"/>
      <c r="E63" s="426"/>
      <c r="F63" s="426"/>
      <c r="G63" s="426"/>
      <c r="H63" s="426"/>
      <c r="I63" s="426"/>
      <c r="J63" s="426"/>
      <c r="K63" s="426"/>
      <c r="L63" s="426"/>
      <c r="M63" s="426"/>
      <c r="N63" s="426"/>
      <c r="O63" s="426"/>
      <c r="P63" s="426"/>
      <c r="Q63" s="426"/>
      <c r="R63" s="426"/>
      <c r="S63" s="426"/>
      <c r="T63" s="426"/>
      <c r="U63" s="426"/>
      <c r="V63" s="426"/>
      <c r="W63" s="426"/>
      <c r="X63" s="426"/>
      <c r="Y63" s="426"/>
      <c r="Z63" s="426"/>
      <c r="AA63" s="426"/>
      <c r="AB63" s="426"/>
      <c r="AC63" s="426"/>
      <c r="AD63" s="426"/>
      <c r="AE63" s="426"/>
      <c r="AF63" s="426"/>
      <c r="AG63" s="426"/>
      <c r="AH63" s="427"/>
      <c r="AI63" s="422" t="e">
        <f>SUM(AI59:AN62)</f>
        <v>#REF!</v>
      </c>
      <c r="AJ63" s="423"/>
      <c r="AK63" s="423"/>
      <c r="AL63" s="423"/>
      <c r="AM63" s="423"/>
      <c r="AN63" s="424"/>
    </row>
    <row r="64" spans="1:48" ht="17.25" customHeight="1">
      <c r="A64" s="13"/>
      <c r="B64" s="115">
        <v>7</v>
      </c>
      <c r="C64" s="404"/>
      <c r="D64" s="540"/>
      <c r="E64" s="540"/>
      <c r="F64" s="405"/>
      <c r="G64" s="535" t="s">
        <v>128</v>
      </c>
      <c r="H64" s="536"/>
      <c r="I64" s="536"/>
      <c r="J64" s="536"/>
      <c r="K64" s="536"/>
      <c r="L64" s="536"/>
      <c r="M64" s="536"/>
      <c r="N64" s="536"/>
      <c r="O64" s="536"/>
      <c r="P64" s="536"/>
      <c r="Q64" s="536"/>
      <c r="R64" s="536"/>
      <c r="S64" s="536"/>
      <c r="T64" s="536"/>
      <c r="U64" s="536"/>
      <c r="V64" s="536"/>
      <c r="W64" s="536"/>
      <c r="X64" s="536"/>
      <c r="Y64" s="536"/>
      <c r="Z64" s="536"/>
      <c r="AA64" s="536"/>
      <c r="AB64" s="536" t="str">
        <f>IF(T64="","",ROUND(V64*Y64,2))</f>
        <v/>
      </c>
      <c r="AC64" s="536"/>
      <c r="AD64" s="536"/>
      <c r="AE64" s="536"/>
      <c r="AF64" s="536" t="str">
        <f>IF(T64="","",ROUND(Y64*(1+$AJ$18),2))</f>
        <v/>
      </c>
      <c r="AG64" s="536"/>
      <c r="AH64" s="536"/>
      <c r="AI64" s="536" t="str">
        <f>IF(T64="","",ROUND(V64*AF64,2))</f>
        <v/>
      </c>
      <c r="AJ64" s="536"/>
      <c r="AK64" s="536"/>
      <c r="AL64" s="536"/>
      <c r="AM64" s="536"/>
      <c r="AN64" s="537"/>
      <c r="AP64" s="95"/>
      <c r="AQ64" s="94"/>
    </row>
    <row r="65" spans="1:48" s="118" customFormat="1" ht="25.5" customHeight="1">
      <c r="A65" s="117"/>
      <c r="B65" s="116" t="s">
        <v>268</v>
      </c>
      <c r="C65" s="404">
        <v>72947</v>
      </c>
      <c r="D65" s="405">
        <v>84665</v>
      </c>
      <c r="E65" s="404" t="s">
        <v>105</v>
      </c>
      <c r="F65" s="405"/>
      <c r="G65" s="429" t="s">
        <v>246</v>
      </c>
      <c r="H65" s="429"/>
      <c r="I65" s="429"/>
      <c r="J65" s="429"/>
      <c r="K65" s="429"/>
      <c r="L65" s="429"/>
      <c r="M65" s="429"/>
      <c r="N65" s="429"/>
      <c r="O65" s="429"/>
      <c r="P65" s="429"/>
      <c r="Q65" s="429"/>
      <c r="R65" s="429"/>
      <c r="S65" s="429"/>
      <c r="T65" s="406" t="s">
        <v>145</v>
      </c>
      <c r="U65" s="406" t="s">
        <v>145</v>
      </c>
      <c r="V65" s="412">
        <f>384.48+159.52</f>
        <v>544</v>
      </c>
      <c r="W65" s="412">
        <v>100</v>
      </c>
      <c r="X65" s="412">
        <v>100</v>
      </c>
      <c r="Y65" s="420">
        <v>20.7</v>
      </c>
      <c r="Z65" s="420">
        <v>17.38</v>
      </c>
      <c r="AA65" s="420">
        <v>17.38</v>
      </c>
      <c r="AB65" s="421">
        <v>147.74</v>
      </c>
      <c r="AC65" s="421"/>
      <c r="AD65" s="421"/>
      <c r="AE65" s="421"/>
      <c r="AF65" s="412">
        <f>IF(T65="","",ROUND(Y65*(1+$AJ$18),2))</f>
        <v>26.71</v>
      </c>
      <c r="AG65" s="412"/>
      <c r="AH65" s="412"/>
      <c r="AI65" s="412">
        <f>IF(T65="","",ROUND(V65*AF65,2))</f>
        <v>14530.24</v>
      </c>
      <c r="AJ65" s="412"/>
      <c r="AK65" s="412"/>
      <c r="AL65" s="412"/>
      <c r="AM65" s="412"/>
      <c r="AN65" s="412"/>
      <c r="AV65" s="119"/>
    </row>
    <row r="66" spans="1:48" s="118" customFormat="1" ht="34.5" customHeight="1">
      <c r="A66" s="117"/>
      <c r="B66" s="116" t="s">
        <v>273</v>
      </c>
      <c r="C66" s="404" t="s">
        <v>133</v>
      </c>
      <c r="D66" s="405" t="s">
        <v>133</v>
      </c>
      <c r="E66" s="404" t="s">
        <v>135</v>
      </c>
      <c r="F66" s="405"/>
      <c r="G66" s="429" t="s">
        <v>131</v>
      </c>
      <c r="H66" s="429"/>
      <c r="I66" s="429"/>
      <c r="J66" s="429"/>
      <c r="K66" s="429"/>
      <c r="L66" s="429"/>
      <c r="M66" s="429"/>
      <c r="N66" s="429"/>
      <c r="O66" s="429"/>
      <c r="P66" s="429"/>
      <c r="Q66" s="429"/>
      <c r="R66" s="429"/>
      <c r="S66" s="429"/>
      <c r="T66" s="406" t="s">
        <v>154</v>
      </c>
      <c r="U66" s="406" t="s">
        <v>154</v>
      </c>
      <c r="V66" s="412">
        <f>2.4+0.58+1.68+2.32</f>
        <v>6.98</v>
      </c>
      <c r="W66" s="412">
        <v>0.8</v>
      </c>
      <c r="X66" s="412">
        <v>0.8</v>
      </c>
      <c r="Y66" s="420">
        <v>227.23</v>
      </c>
      <c r="Z66" s="420">
        <v>227.23</v>
      </c>
      <c r="AA66" s="420">
        <v>227.23</v>
      </c>
      <c r="AB66" s="411">
        <f>IF(T66="","",ROUND(V66*Y66,2))</f>
        <v>1586.07</v>
      </c>
      <c r="AC66" s="411"/>
      <c r="AD66" s="411"/>
      <c r="AE66" s="411"/>
      <c r="AF66" s="410">
        <f>IF(T66="","",ROUND(Y66*(1+$AJ$18),2))</f>
        <v>293.22000000000003</v>
      </c>
      <c r="AG66" s="410"/>
      <c r="AH66" s="410"/>
      <c r="AI66" s="410">
        <f>IF(T66="","",ROUND(V66*AF66,2))</f>
        <v>2046.68</v>
      </c>
      <c r="AJ66" s="410"/>
      <c r="AK66" s="410"/>
      <c r="AL66" s="410"/>
      <c r="AM66" s="410"/>
      <c r="AN66" s="410"/>
      <c r="AV66" s="119"/>
    </row>
    <row r="67" spans="1:48" s="118" customFormat="1" ht="24" customHeight="1">
      <c r="A67" s="117"/>
      <c r="B67" s="116" t="s">
        <v>274</v>
      </c>
      <c r="C67" s="404" t="s">
        <v>134</v>
      </c>
      <c r="D67" s="405" t="s">
        <v>134</v>
      </c>
      <c r="E67" s="404" t="s">
        <v>105</v>
      </c>
      <c r="F67" s="405"/>
      <c r="G67" s="429" t="s">
        <v>132</v>
      </c>
      <c r="H67" s="429"/>
      <c r="I67" s="429"/>
      <c r="J67" s="429"/>
      <c r="K67" s="429"/>
      <c r="L67" s="429"/>
      <c r="M67" s="429"/>
      <c r="N67" s="429"/>
      <c r="O67" s="429"/>
      <c r="P67" s="429"/>
      <c r="Q67" s="429"/>
      <c r="R67" s="429"/>
      <c r="S67" s="429"/>
      <c r="T67" s="406" t="s">
        <v>152</v>
      </c>
      <c r="U67" s="406" t="s">
        <v>152</v>
      </c>
      <c r="V67" s="412">
        <v>8</v>
      </c>
      <c r="W67" s="412">
        <v>3</v>
      </c>
      <c r="X67" s="412">
        <v>3</v>
      </c>
      <c r="Y67" s="420">
        <v>84.48</v>
      </c>
      <c r="Z67" s="420">
        <v>84.98</v>
      </c>
      <c r="AA67" s="420">
        <v>84.98</v>
      </c>
      <c r="AB67" s="411">
        <f>IF(T67="","",ROUND(V67*Y67,2))</f>
        <v>675.84</v>
      </c>
      <c r="AC67" s="411"/>
      <c r="AD67" s="411"/>
      <c r="AE67" s="411"/>
      <c r="AF67" s="410">
        <f>IF(T67="","",ROUND(Y67*(1+$AJ$18),2))</f>
        <v>109.01</v>
      </c>
      <c r="AG67" s="410"/>
      <c r="AH67" s="410"/>
      <c r="AI67" s="410">
        <f>IF(T67="","",ROUND(V67*AF67,2))</f>
        <v>872.08</v>
      </c>
      <c r="AJ67" s="410"/>
      <c r="AK67" s="410"/>
      <c r="AL67" s="410"/>
      <c r="AM67" s="410"/>
      <c r="AN67" s="410"/>
      <c r="AV67" s="119"/>
    </row>
    <row r="68" spans="1:48" ht="12" customHeight="1">
      <c r="A68" s="13"/>
      <c r="B68" s="116"/>
      <c r="C68" s="425" t="s">
        <v>218</v>
      </c>
      <c r="D68" s="426"/>
      <c r="E68" s="426"/>
      <c r="F68" s="426"/>
      <c r="G68" s="426"/>
      <c r="H68" s="426"/>
      <c r="I68" s="426"/>
      <c r="J68" s="426"/>
      <c r="K68" s="426"/>
      <c r="L68" s="426"/>
      <c r="M68" s="426"/>
      <c r="N68" s="426"/>
      <c r="O68" s="426"/>
      <c r="P68" s="426"/>
      <c r="Q68" s="426"/>
      <c r="R68" s="426"/>
      <c r="S68" s="426"/>
      <c r="T68" s="426"/>
      <c r="U68" s="426"/>
      <c r="V68" s="426"/>
      <c r="W68" s="426"/>
      <c r="X68" s="426"/>
      <c r="Y68" s="426"/>
      <c r="Z68" s="426"/>
      <c r="AA68" s="426"/>
      <c r="AB68" s="426"/>
      <c r="AC68" s="426"/>
      <c r="AD68" s="426"/>
      <c r="AE68" s="426"/>
      <c r="AF68" s="426"/>
      <c r="AG68" s="426"/>
      <c r="AH68" s="427"/>
      <c r="AI68" s="422">
        <f>SUM(AI65:AN67)</f>
        <v>17449</v>
      </c>
      <c r="AJ68" s="423"/>
      <c r="AK68" s="423"/>
      <c r="AL68" s="423"/>
      <c r="AM68" s="423"/>
      <c r="AN68" s="424"/>
    </row>
    <row r="69" spans="1:48" ht="17.25" customHeight="1">
      <c r="A69" s="13"/>
      <c r="B69" s="115">
        <v>8</v>
      </c>
      <c r="C69" s="404"/>
      <c r="D69" s="540"/>
      <c r="E69" s="540"/>
      <c r="F69" s="405"/>
      <c r="G69" s="535" t="s">
        <v>136</v>
      </c>
      <c r="H69" s="536"/>
      <c r="I69" s="536"/>
      <c r="J69" s="536"/>
      <c r="K69" s="536"/>
      <c r="L69" s="536"/>
      <c r="M69" s="536"/>
      <c r="N69" s="536"/>
      <c r="O69" s="536"/>
      <c r="P69" s="536"/>
      <c r="Q69" s="536"/>
      <c r="R69" s="536"/>
      <c r="S69" s="536"/>
      <c r="T69" s="536"/>
      <c r="U69" s="536"/>
      <c r="V69" s="536"/>
      <c r="W69" s="536"/>
      <c r="X69" s="536"/>
      <c r="Y69" s="536"/>
      <c r="Z69" s="536"/>
      <c r="AA69" s="536"/>
      <c r="AB69" s="536"/>
      <c r="AC69" s="536"/>
      <c r="AD69" s="536"/>
      <c r="AE69" s="536"/>
      <c r="AF69" s="536"/>
      <c r="AG69" s="536"/>
      <c r="AH69" s="536"/>
      <c r="AI69" s="536"/>
      <c r="AJ69" s="536"/>
      <c r="AK69" s="536"/>
      <c r="AL69" s="536"/>
      <c r="AM69" s="536"/>
      <c r="AN69" s="537"/>
      <c r="AP69" s="95"/>
      <c r="AQ69" s="94"/>
    </row>
    <row r="70" spans="1:48" s="39" customFormat="1" ht="26.25" customHeight="1">
      <c r="A70" s="105"/>
      <c r="B70" s="116" t="s">
        <v>275</v>
      </c>
      <c r="C70" s="404" t="s">
        <v>247</v>
      </c>
      <c r="D70" s="405" t="s">
        <v>140</v>
      </c>
      <c r="E70" s="404" t="s">
        <v>105</v>
      </c>
      <c r="F70" s="405"/>
      <c r="G70" s="429" t="s">
        <v>248</v>
      </c>
      <c r="H70" s="429"/>
      <c r="I70" s="429"/>
      <c r="J70" s="429"/>
      <c r="K70" s="429"/>
      <c r="L70" s="429"/>
      <c r="M70" s="429"/>
      <c r="N70" s="429"/>
      <c r="O70" s="429"/>
      <c r="P70" s="429"/>
      <c r="Q70" s="429"/>
      <c r="R70" s="429"/>
      <c r="S70" s="429"/>
      <c r="T70" s="406" t="s">
        <v>152</v>
      </c>
      <c r="U70" s="406" t="s">
        <v>154</v>
      </c>
      <c r="V70" s="412">
        <v>6</v>
      </c>
      <c r="W70" s="412">
        <f>W42*0.1</f>
        <v>0</v>
      </c>
      <c r="X70" s="412">
        <f>X42*0.1</f>
        <v>0</v>
      </c>
      <c r="Y70" s="420">
        <v>64.42</v>
      </c>
      <c r="Z70" s="420">
        <v>0.04</v>
      </c>
      <c r="AA70" s="420">
        <v>0.04</v>
      </c>
      <c r="AB70" s="411">
        <f>IF(T70="","",ROUND(V70*Y70,2))</f>
        <v>386.52</v>
      </c>
      <c r="AC70" s="411"/>
      <c r="AD70" s="411"/>
      <c r="AE70" s="411"/>
      <c r="AF70" s="410">
        <f>IF(T70="","",ROUND(Y70*(1+$AJ$18),2))</f>
        <v>83.13</v>
      </c>
      <c r="AG70" s="410"/>
      <c r="AH70" s="410"/>
      <c r="AI70" s="410">
        <f>IF(T70="","",ROUND(V70*AF70,2))</f>
        <v>498.78</v>
      </c>
      <c r="AJ70" s="410"/>
      <c r="AK70" s="410"/>
      <c r="AL70" s="410"/>
      <c r="AM70" s="410"/>
      <c r="AN70" s="410"/>
      <c r="AV70" s="106"/>
    </row>
    <row r="71" spans="1:48" ht="26.25" customHeight="1">
      <c r="A71" s="13"/>
      <c r="B71" s="116" t="s">
        <v>276</v>
      </c>
      <c r="C71" s="404" t="s">
        <v>141</v>
      </c>
      <c r="D71" s="405" t="s">
        <v>141</v>
      </c>
      <c r="E71" s="404" t="s">
        <v>105</v>
      </c>
      <c r="F71" s="405"/>
      <c r="G71" s="429" t="s">
        <v>137</v>
      </c>
      <c r="H71" s="429"/>
      <c r="I71" s="429"/>
      <c r="J71" s="429"/>
      <c r="K71" s="429"/>
      <c r="L71" s="429"/>
      <c r="M71" s="429"/>
      <c r="N71" s="429"/>
      <c r="O71" s="429"/>
      <c r="P71" s="429"/>
      <c r="Q71" s="429"/>
      <c r="R71" s="429"/>
      <c r="S71" s="429"/>
      <c r="T71" s="406" t="s">
        <v>154</v>
      </c>
      <c r="U71" s="406" t="s">
        <v>154</v>
      </c>
      <c r="V71" s="412" t="e">
        <f>'MEMORIA DE CÁLCULO'!#REF!</f>
        <v>#REF!</v>
      </c>
      <c r="W71" s="412">
        <f>W37*0.1</f>
        <v>0</v>
      </c>
      <c r="X71" s="412">
        <f>X37*0.1</f>
        <v>0</v>
      </c>
      <c r="Y71" s="420">
        <v>0.57999999999999996</v>
      </c>
      <c r="Z71" s="420">
        <v>0.64</v>
      </c>
      <c r="AA71" s="420">
        <v>0.64</v>
      </c>
      <c r="AB71" s="411" t="e">
        <f>IF(T71="","",ROUND(V71*Y71,2))</f>
        <v>#REF!</v>
      </c>
      <c r="AC71" s="411"/>
      <c r="AD71" s="411"/>
      <c r="AE71" s="411"/>
      <c r="AF71" s="410">
        <f>IF(T71="","",ROUND(Y71*(1+$AJ$18),2))</f>
        <v>0.75</v>
      </c>
      <c r="AG71" s="410"/>
      <c r="AH71" s="410"/>
      <c r="AI71" s="410" t="e">
        <f>IF(T71="","",ROUND(V71*AF71,2))</f>
        <v>#REF!</v>
      </c>
      <c r="AJ71" s="410"/>
      <c r="AK71" s="410"/>
      <c r="AL71" s="410"/>
      <c r="AM71" s="410"/>
      <c r="AN71" s="410"/>
    </row>
    <row r="72" spans="1:48" ht="26.25" customHeight="1">
      <c r="A72" s="13"/>
      <c r="B72" s="116" t="s">
        <v>277</v>
      </c>
      <c r="C72" s="404" t="s">
        <v>142</v>
      </c>
      <c r="D72" s="405" t="s">
        <v>142</v>
      </c>
      <c r="E72" s="404" t="s">
        <v>105</v>
      </c>
      <c r="F72" s="405"/>
      <c r="G72" s="429" t="s">
        <v>138</v>
      </c>
      <c r="H72" s="429"/>
      <c r="I72" s="429"/>
      <c r="J72" s="429"/>
      <c r="K72" s="429"/>
      <c r="L72" s="429"/>
      <c r="M72" s="429"/>
      <c r="N72" s="429"/>
      <c r="O72" s="429"/>
      <c r="P72" s="429"/>
      <c r="Q72" s="429"/>
      <c r="R72" s="429"/>
      <c r="S72" s="429"/>
      <c r="T72" s="406" t="s">
        <v>153</v>
      </c>
      <c r="U72" s="406" t="s">
        <v>153</v>
      </c>
      <c r="V72" s="412" t="e">
        <f>'MEMORIA DE CÁLCULO'!#REF!</f>
        <v>#REF!</v>
      </c>
      <c r="W72" s="412">
        <f>W39*0.1</f>
        <v>0</v>
      </c>
      <c r="X72" s="412">
        <f>X39*0.1</f>
        <v>0</v>
      </c>
      <c r="Y72" s="420">
        <v>1.1299999999999999</v>
      </c>
      <c r="Z72" s="420">
        <v>1.24</v>
      </c>
      <c r="AA72" s="420">
        <v>1.24</v>
      </c>
      <c r="AB72" s="411" t="e">
        <f>IF(T72="","",ROUND(V72*Y72,2))</f>
        <v>#REF!</v>
      </c>
      <c r="AC72" s="411"/>
      <c r="AD72" s="411"/>
      <c r="AE72" s="411"/>
      <c r="AF72" s="410">
        <f>IF(T72="","",ROUND(Y72*(1+$AJ$18),2))</f>
        <v>1.46</v>
      </c>
      <c r="AG72" s="410"/>
      <c r="AH72" s="410"/>
      <c r="AI72" s="410" t="e">
        <f>IF(T72="","",ROUND(V72*AF72,2))</f>
        <v>#REF!</v>
      </c>
      <c r="AJ72" s="410"/>
      <c r="AK72" s="410"/>
      <c r="AL72" s="410"/>
      <c r="AM72" s="410"/>
      <c r="AN72" s="410"/>
    </row>
    <row r="73" spans="1:48" ht="36" customHeight="1">
      <c r="A73" s="13"/>
      <c r="B73" s="116" t="s">
        <v>278</v>
      </c>
      <c r="C73" s="404" t="s">
        <v>143</v>
      </c>
      <c r="D73" s="405" t="s">
        <v>143</v>
      </c>
      <c r="E73" s="404" t="s">
        <v>105</v>
      </c>
      <c r="F73" s="405"/>
      <c r="G73" s="429" t="s">
        <v>139</v>
      </c>
      <c r="H73" s="429"/>
      <c r="I73" s="429"/>
      <c r="J73" s="429"/>
      <c r="K73" s="429"/>
      <c r="L73" s="429"/>
      <c r="M73" s="429"/>
      <c r="N73" s="429"/>
      <c r="O73" s="429"/>
      <c r="P73" s="429"/>
      <c r="Q73" s="429"/>
      <c r="R73" s="429"/>
      <c r="S73" s="429"/>
      <c r="T73" s="406" t="s">
        <v>149</v>
      </c>
      <c r="U73" s="406" t="s">
        <v>149</v>
      </c>
      <c r="V73" s="412" t="e">
        <f>'MEMORIA DE CÁLCULO'!#REF!*1.9</f>
        <v>#REF!</v>
      </c>
      <c r="W73" s="412">
        <f>W46*0.1</f>
        <v>0</v>
      </c>
      <c r="X73" s="412">
        <f>X46*0.1</f>
        <v>0</v>
      </c>
      <c r="Y73" s="420">
        <v>33.72</v>
      </c>
      <c r="Z73" s="420">
        <v>36.19</v>
      </c>
      <c r="AA73" s="420">
        <v>36.19</v>
      </c>
      <c r="AB73" s="411" t="e">
        <f>IF(T73="","",ROUND(V73*Y73,2))</f>
        <v>#REF!</v>
      </c>
      <c r="AC73" s="411"/>
      <c r="AD73" s="411"/>
      <c r="AE73" s="411"/>
      <c r="AF73" s="410">
        <f>IF(T73="","",ROUND(Y73*(1+$AJ$18),2))</f>
        <v>43.51</v>
      </c>
      <c r="AG73" s="410"/>
      <c r="AH73" s="410"/>
      <c r="AI73" s="410" t="e">
        <f>IF(T73="","",ROUND(V73*AF73,2))</f>
        <v>#REF!</v>
      </c>
      <c r="AJ73" s="410"/>
      <c r="AK73" s="410"/>
      <c r="AL73" s="410"/>
      <c r="AM73" s="410"/>
      <c r="AN73" s="410"/>
    </row>
    <row r="74" spans="1:48" ht="12" customHeight="1">
      <c r="A74" s="13"/>
      <c r="B74" s="116"/>
      <c r="C74" s="425" t="s">
        <v>218</v>
      </c>
      <c r="D74" s="426"/>
      <c r="E74" s="426"/>
      <c r="F74" s="426"/>
      <c r="G74" s="426"/>
      <c r="H74" s="426"/>
      <c r="I74" s="426"/>
      <c r="J74" s="426"/>
      <c r="K74" s="426"/>
      <c r="L74" s="426"/>
      <c r="M74" s="426"/>
      <c r="N74" s="426"/>
      <c r="O74" s="426"/>
      <c r="P74" s="426"/>
      <c r="Q74" s="426"/>
      <c r="R74" s="426"/>
      <c r="S74" s="426"/>
      <c r="T74" s="426"/>
      <c r="U74" s="426"/>
      <c r="V74" s="426"/>
      <c r="W74" s="426"/>
      <c r="X74" s="426"/>
      <c r="Y74" s="426"/>
      <c r="Z74" s="426"/>
      <c r="AA74" s="426"/>
      <c r="AB74" s="426"/>
      <c r="AC74" s="426"/>
      <c r="AD74" s="426"/>
      <c r="AE74" s="426"/>
      <c r="AF74" s="426"/>
      <c r="AG74" s="426"/>
      <c r="AH74" s="427"/>
      <c r="AI74" s="422" t="e">
        <f>SUM(AI70:AN73)</f>
        <v>#REF!</v>
      </c>
      <c r="AJ74" s="423"/>
      <c r="AK74" s="423"/>
      <c r="AL74" s="423"/>
      <c r="AM74" s="423"/>
      <c r="AN74" s="424"/>
    </row>
    <row r="75" spans="1:48" ht="12" customHeight="1">
      <c r="A75" s="13"/>
      <c r="B75" s="31"/>
      <c r="C75" s="32"/>
      <c r="D75" s="32"/>
      <c r="E75" s="32"/>
      <c r="F75" s="32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32"/>
      <c r="U75" s="32"/>
      <c r="V75" s="46"/>
      <c r="W75" s="46"/>
      <c r="X75" s="47" t="s">
        <v>35</v>
      </c>
      <c r="Y75" s="533" t="s">
        <v>36</v>
      </c>
      <c r="Z75" s="534"/>
      <c r="AA75" s="534"/>
      <c r="AB75" s="534" t="e">
        <f>SUM(AB30:AE74)</f>
        <v>#REF!</v>
      </c>
      <c r="AC75" s="534"/>
      <c r="AD75" s="534"/>
      <c r="AE75" s="539"/>
      <c r="AF75" s="538" t="s">
        <v>37</v>
      </c>
      <c r="AG75" s="419"/>
      <c r="AH75" s="419"/>
      <c r="AI75" s="419" t="e">
        <f>AI74+AI68+AI63+AI57+AI54+AI51+AI40+AI34</f>
        <v>#REF!</v>
      </c>
      <c r="AJ75" s="419"/>
      <c r="AK75" s="419"/>
      <c r="AL75" s="419"/>
      <c r="AM75" s="419"/>
      <c r="AN75" s="419"/>
      <c r="AO75" s="84"/>
      <c r="AP75" s="85"/>
      <c r="AQ75" s="85"/>
      <c r="AR75" s="85"/>
      <c r="AT75" s="3" t="s">
        <v>60</v>
      </c>
    </row>
    <row r="76" spans="1:48" ht="12" customHeight="1">
      <c r="A76" s="13"/>
      <c r="B76" s="182"/>
      <c r="C76" s="13"/>
      <c r="D76" s="13"/>
      <c r="E76" s="13"/>
      <c r="F76" s="13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13"/>
      <c r="U76" s="13"/>
      <c r="V76" s="48"/>
      <c r="W76" s="48"/>
      <c r="X76" s="48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4"/>
      <c r="AP76" s="84"/>
      <c r="AT76" s="3" t="s">
        <v>61</v>
      </c>
    </row>
    <row r="77" spans="1:48" ht="12" customHeight="1">
      <c r="A77" s="13"/>
      <c r="B77" s="182"/>
      <c r="C77" s="13"/>
      <c r="D77" s="13"/>
      <c r="E77" s="13"/>
      <c r="F77" s="532" t="s">
        <v>44</v>
      </c>
      <c r="G77" s="532"/>
      <c r="H77" s="532"/>
      <c r="I77" s="532"/>
      <c r="J77" s="532"/>
      <c r="K77" s="532"/>
      <c r="L77" s="532"/>
      <c r="M77" s="532"/>
      <c r="N77" s="532"/>
      <c r="O77" s="532"/>
      <c r="P77" s="532"/>
      <c r="Q77" s="532"/>
      <c r="R77" s="532"/>
      <c r="S77" s="532"/>
      <c r="T77" s="532"/>
      <c r="U77" s="532"/>
      <c r="V77" s="532"/>
      <c r="W77" s="532"/>
      <c r="X77" s="532"/>
      <c r="Y77" s="532"/>
      <c r="Z77" s="532"/>
      <c r="AA77" s="532"/>
      <c r="AB77" s="532"/>
      <c r="AC77" s="532"/>
      <c r="AD77" s="532"/>
      <c r="AE77" s="532"/>
      <c r="AF77" s="532"/>
      <c r="AG77" s="532"/>
      <c r="AH77" s="532"/>
      <c r="AI77" s="532"/>
      <c r="AJ77" s="532"/>
      <c r="AK77" s="532"/>
      <c r="AL77" s="532"/>
      <c r="AM77" s="532"/>
      <c r="AN77" s="14"/>
      <c r="AO77" s="84"/>
    </row>
    <row r="78" spans="1:48" ht="12" customHeight="1">
      <c r="A78" s="13"/>
      <c r="B78" s="182"/>
      <c r="C78" s="13"/>
      <c r="D78" s="13"/>
      <c r="E78" s="13"/>
      <c r="F78" s="532"/>
      <c r="G78" s="532"/>
      <c r="H78" s="532"/>
      <c r="I78" s="532"/>
      <c r="J78" s="532"/>
      <c r="K78" s="532"/>
      <c r="L78" s="532"/>
      <c r="M78" s="532"/>
      <c r="N78" s="532"/>
      <c r="O78" s="532"/>
      <c r="P78" s="532"/>
      <c r="Q78" s="532"/>
      <c r="R78" s="532"/>
      <c r="S78" s="532"/>
      <c r="T78" s="532"/>
      <c r="U78" s="532"/>
      <c r="V78" s="532"/>
      <c r="W78" s="532"/>
      <c r="X78" s="532"/>
      <c r="Y78" s="532"/>
      <c r="Z78" s="532"/>
      <c r="AA78" s="532"/>
      <c r="AB78" s="532"/>
      <c r="AC78" s="532"/>
      <c r="AD78" s="532"/>
      <c r="AE78" s="532"/>
      <c r="AF78" s="532"/>
      <c r="AG78" s="532"/>
      <c r="AH78" s="532"/>
      <c r="AI78" s="532"/>
      <c r="AJ78" s="532"/>
      <c r="AK78" s="532"/>
      <c r="AL78" s="532"/>
      <c r="AM78" s="532"/>
      <c r="AN78" s="14"/>
      <c r="AP78" s="84"/>
      <c r="AT78" s="3" t="s">
        <v>51</v>
      </c>
    </row>
    <row r="79" spans="1:48" ht="12" customHeight="1">
      <c r="A79" s="13"/>
      <c r="B79" s="182"/>
      <c r="C79" s="13"/>
      <c r="D79" s="13"/>
      <c r="E79" s="13"/>
      <c r="F79" s="532"/>
      <c r="G79" s="532"/>
      <c r="H79" s="532"/>
      <c r="I79" s="532"/>
      <c r="J79" s="532"/>
      <c r="K79" s="532"/>
      <c r="L79" s="532"/>
      <c r="M79" s="532"/>
      <c r="N79" s="532"/>
      <c r="O79" s="532"/>
      <c r="P79" s="532"/>
      <c r="Q79" s="532"/>
      <c r="R79" s="532"/>
      <c r="S79" s="532"/>
      <c r="T79" s="532"/>
      <c r="U79" s="532"/>
      <c r="V79" s="532"/>
      <c r="W79" s="532"/>
      <c r="X79" s="532"/>
      <c r="Y79" s="532"/>
      <c r="Z79" s="532"/>
      <c r="AA79" s="532"/>
      <c r="AB79" s="532"/>
      <c r="AC79" s="532"/>
      <c r="AD79" s="532"/>
      <c r="AE79" s="532"/>
      <c r="AF79" s="532"/>
      <c r="AG79" s="532"/>
      <c r="AH79" s="532"/>
      <c r="AI79" s="532"/>
      <c r="AJ79" s="532"/>
      <c r="AK79" s="532"/>
      <c r="AL79" s="532"/>
      <c r="AM79" s="532"/>
      <c r="AN79" s="14"/>
    </row>
    <row r="80" spans="1:48" ht="13.2">
      <c r="A80" s="13"/>
      <c r="B80" s="182"/>
      <c r="C80" s="13"/>
      <c r="D80" s="13"/>
      <c r="E80" s="13"/>
      <c r="F80" s="532"/>
      <c r="G80" s="532"/>
      <c r="H80" s="532"/>
      <c r="I80" s="532"/>
      <c r="J80" s="532"/>
      <c r="K80" s="532"/>
      <c r="L80" s="532"/>
      <c r="M80" s="532"/>
      <c r="N80" s="532"/>
      <c r="O80" s="532"/>
      <c r="P80" s="532"/>
      <c r="Q80" s="532"/>
      <c r="R80" s="532"/>
      <c r="S80" s="532"/>
      <c r="T80" s="532"/>
      <c r="U80" s="532"/>
      <c r="V80" s="532"/>
      <c r="W80" s="532"/>
      <c r="X80" s="532"/>
      <c r="Y80" s="532"/>
      <c r="Z80" s="532"/>
      <c r="AA80" s="532"/>
      <c r="AB80" s="532"/>
      <c r="AC80" s="532"/>
      <c r="AD80" s="532"/>
      <c r="AE80" s="532"/>
      <c r="AF80" s="532"/>
      <c r="AG80" s="532"/>
      <c r="AH80" s="532"/>
      <c r="AI80" s="532"/>
      <c r="AJ80" s="532"/>
      <c r="AK80" s="532"/>
      <c r="AL80" s="532"/>
      <c r="AM80" s="532"/>
      <c r="AN80" s="14"/>
      <c r="AP80" s="84"/>
      <c r="AT80" s="3" t="s">
        <v>62</v>
      </c>
    </row>
    <row r="81" spans="1:48" s="15" customFormat="1" ht="12" customHeight="1">
      <c r="A81" s="13"/>
      <c r="B81" s="529" t="s">
        <v>283</v>
      </c>
      <c r="C81" s="530"/>
      <c r="D81" s="530"/>
      <c r="E81" s="530"/>
      <c r="F81" s="530"/>
      <c r="G81" s="530"/>
      <c r="H81" s="530"/>
      <c r="I81" s="530"/>
      <c r="J81" s="530"/>
      <c r="K81" s="530"/>
      <c r="L81" s="530"/>
      <c r="M81" s="530"/>
      <c r="N81" s="530"/>
      <c r="O81" s="530"/>
      <c r="P81" s="530"/>
      <c r="Q81" s="530"/>
      <c r="R81" s="530"/>
      <c r="S81" s="530"/>
      <c r="T81" s="530"/>
      <c r="U81" s="530"/>
      <c r="V81" s="530"/>
      <c r="W81" s="530"/>
      <c r="X81" s="530"/>
      <c r="Y81" s="530"/>
      <c r="Z81" s="530"/>
      <c r="AA81" s="530"/>
      <c r="AB81" s="530"/>
      <c r="AC81" s="530"/>
      <c r="AD81" s="530"/>
      <c r="AE81" s="530"/>
      <c r="AF81" s="530"/>
      <c r="AG81" s="530"/>
      <c r="AH81" s="530"/>
      <c r="AI81" s="530"/>
      <c r="AJ81" s="530"/>
      <c r="AK81" s="530"/>
      <c r="AL81" s="530"/>
      <c r="AM81" s="530"/>
      <c r="AN81" s="531"/>
      <c r="AV81" s="16"/>
    </row>
    <row r="82" spans="1:48" ht="12" customHeight="1">
      <c r="A82" s="13"/>
      <c r="B82" s="182"/>
      <c r="C82" s="13"/>
      <c r="D82" s="13"/>
      <c r="E82" s="13"/>
      <c r="F82" s="13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13"/>
      <c r="U82" s="13"/>
      <c r="V82" s="48"/>
      <c r="W82" s="48"/>
      <c r="X82" s="48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4"/>
      <c r="AP82" s="85"/>
      <c r="AT82" s="3" t="s">
        <v>63</v>
      </c>
    </row>
    <row r="83" spans="1:48" ht="13.2">
      <c r="A83" s="13"/>
      <c r="B83" s="182"/>
      <c r="C83" s="13"/>
      <c r="D83" s="13"/>
      <c r="E83" s="13"/>
      <c r="F83" s="13"/>
      <c r="G83" s="65"/>
      <c r="H83" s="65"/>
      <c r="I83" s="65"/>
      <c r="J83" s="65"/>
      <c r="K83" s="65"/>
      <c r="L83" s="65"/>
      <c r="M83" s="66"/>
      <c r="N83" s="66"/>
      <c r="O83" s="66"/>
      <c r="P83" s="66"/>
      <c r="Q83" s="66"/>
      <c r="R83" s="66"/>
      <c r="S83" s="66"/>
      <c r="T83" s="17"/>
      <c r="U83" s="17"/>
      <c r="V83" s="49"/>
      <c r="W83" s="49"/>
      <c r="X83" s="49"/>
      <c r="Y83" s="17"/>
      <c r="Z83" s="17"/>
      <c r="AA83" s="17"/>
      <c r="AB83" s="17"/>
      <c r="AC83" s="17"/>
      <c r="AD83" s="17"/>
      <c r="AE83" s="17"/>
      <c r="AF83" s="13"/>
      <c r="AG83" s="13"/>
      <c r="AH83" s="13"/>
      <c r="AI83" s="13"/>
      <c r="AJ83" s="13"/>
      <c r="AK83" s="13"/>
      <c r="AL83" s="13"/>
      <c r="AM83" s="13"/>
      <c r="AN83" s="14"/>
      <c r="AO83" s="84"/>
      <c r="AP83" s="84"/>
    </row>
    <row r="84" spans="1:48" ht="6" customHeight="1">
      <c r="A84" s="13"/>
      <c r="B84" s="182"/>
      <c r="C84" s="13"/>
      <c r="D84" s="13"/>
      <c r="E84" s="13"/>
      <c r="F84" s="13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13"/>
      <c r="U84" s="13"/>
      <c r="V84" s="48"/>
      <c r="W84" s="48"/>
      <c r="X84" s="48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4"/>
    </row>
    <row r="85" spans="1:48" ht="15.75" customHeight="1">
      <c r="A85" s="13"/>
      <c r="B85" s="182"/>
      <c r="C85" s="13"/>
      <c r="D85" s="13"/>
      <c r="E85" s="13"/>
      <c r="F85" s="13" t="s">
        <v>7</v>
      </c>
      <c r="G85" s="65"/>
      <c r="H85" s="65"/>
      <c r="I85" s="65"/>
      <c r="J85" s="65"/>
      <c r="K85" s="65"/>
      <c r="L85" s="65"/>
      <c r="M85" s="417" t="s">
        <v>284</v>
      </c>
      <c r="N85" s="418"/>
      <c r="O85" s="418"/>
      <c r="P85" s="418"/>
      <c r="Q85" s="418"/>
      <c r="R85" s="418"/>
      <c r="S85" s="418"/>
      <c r="T85" s="418"/>
      <c r="U85" s="418"/>
      <c r="V85" s="418"/>
      <c r="W85" s="418"/>
      <c r="X85" s="418"/>
      <c r="Y85" s="418"/>
      <c r="Z85" s="418"/>
      <c r="AA85" s="418"/>
      <c r="AB85" s="418"/>
      <c r="AC85" s="418"/>
      <c r="AD85" s="418"/>
      <c r="AE85" s="418"/>
      <c r="AF85" s="13"/>
      <c r="AG85" s="13"/>
      <c r="AH85" s="13"/>
      <c r="AI85" s="13"/>
      <c r="AJ85" s="13"/>
      <c r="AK85" s="13"/>
      <c r="AL85" s="13"/>
      <c r="AM85" s="13"/>
      <c r="AN85" s="14"/>
    </row>
    <row r="86" spans="1:48" ht="6" customHeight="1">
      <c r="A86" s="13"/>
      <c r="B86" s="182"/>
      <c r="C86" s="13"/>
      <c r="D86" s="13"/>
      <c r="E86" s="13"/>
      <c r="F86" s="13"/>
      <c r="G86" s="65"/>
      <c r="H86" s="65"/>
      <c r="I86" s="65"/>
      <c r="J86" s="65"/>
      <c r="K86" s="65"/>
      <c r="L86" s="65"/>
      <c r="M86" s="417" t="s">
        <v>285</v>
      </c>
      <c r="N86" s="418"/>
      <c r="O86" s="418"/>
      <c r="P86" s="418"/>
      <c r="Q86" s="418"/>
      <c r="R86" s="418"/>
      <c r="S86" s="418"/>
      <c r="T86" s="418"/>
      <c r="U86" s="418"/>
      <c r="V86" s="418"/>
      <c r="W86" s="418"/>
      <c r="X86" s="418"/>
      <c r="Y86" s="418"/>
      <c r="Z86" s="418"/>
      <c r="AA86" s="418"/>
      <c r="AB86" s="418"/>
      <c r="AC86" s="418"/>
      <c r="AD86" s="418"/>
      <c r="AE86" s="418"/>
      <c r="AF86" s="13"/>
      <c r="AG86" s="13"/>
      <c r="AH86" s="13"/>
      <c r="AI86" s="13"/>
      <c r="AJ86" s="13"/>
      <c r="AK86" s="13"/>
      <c r="AL86" s="13"/>
      <c r="AM86" s="13"/>
      <c r="AN86" s="14"/>
    </row>
    <row r="87" spans="1:48" ht="12" customHeight="1">
      <c r="A87" s="13"/>
      <c r="B87" s="182"/>
      <c r="C87" s="13"/>
      <c r="D87" s="13"/>
      <c r="E87" s="13"/>
      <c r="F87" s="13" t="s">
        <v>13</v>
      </c>
      <c r="G87" s="65"/>
      <c r="H87" s="65"/>
      <c r="I87" s="65"/>
      <c r="J87" s="65"/>
      <c r="K87" s="65"/>
      <c r="L87" s="65"/>
      <c r="M87" s="418"/>
      <c r="N87" s="418"/>
      <c r="O87" s="418"/>
      <c r="P87" s="418"/>
      <c r="Q87" s="418"/>
      <c r="R87" s="418"/>
      <c r="S87" s="418"/>
      <c r="T87" s="418"/>
      <c r="U87" s="418"/>
      <c r="V87" s="418"/>
      <c r="W87" s="418"/>
      <c r="X87" s="418"/>
      <c r="Y87" s="418"/>
      <c r="Z87" s="418"/>
      <c r="AA87" s="418"/>
      <c r="AB87" s="418"/>
      <c r="AC87" s="418"/>
      <c r="AD87" s="418"/>
      <c r="AE87" s="418"/>
      <c r="AF87" s="13"/>
      <c r="AG87" s="13"/>
      <c r="AH87" s="13"/>
      <c r="AI87" s="13"/>
      <c r="AJ87" s="13"/>
      <c r="AK87" s="13"/>
      <c r="AL87" s="13"/>
      <c r="AM87" s="13"/>
      <c r="AN87" s="14"/>
    </row>
    <row r="88" spans="1:48" ht="12" customHeight="1">
      <c r="A88" s="13"/>
      <c r="B88" s="182"/>
      <c r="C88" s="13"/>
      <c r="D88" s="13"/>
      <c r="E88" s="13"/>
      <c r="F88" s="13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13"/>
      <c r="U88" s="13"/>
      <c r="V88" s="48"/>
      <c r="W88" s="48"/>
      <c r="X88" s="48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4"/>
      <c r="AP88" s="84"/>
    </row>
    <row r="89" spans="1:48" ht="12" customHeight="1">
      <c r="A89" s="13"/>
      <c r="B89" s="182"/>
      <c r="C89" s="13"/>
      <c r="D89" s="13"/>
      <c r="E89" s="13"/>
      <c r="F89" s="13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13"/>
      <c r="U89" s="13"/>
      <c r="V89" s="48"/>
      <c r="W89" s="48"/>
      <c r="X89" s="48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4"/>
      <c r="AP89" s="84"/>
    </row>
    <row r="90" spans="1:48" ht="13.2">
      <c r="A90" s="13"/>
      <c r="B90" s="182"/>
      <c r="C90" s="13"/>
      <c r="D90" s="13"/>
      <c r="E90" s="13"/>
      <c r="F90" s="13"/>
      <c r="G90" s="65"/>
      <c r="H90" s="65"/>
      <c r="I90" s="65"/>
      <c r="J90" s="65"/>
      <c r="K90" s="65"/>
      <c r="L90" s="65"/>
      <c r="M90" s="66"/>
      <c r="N90" s="66"/>
      <c r="O90" s="66"/>
      <c r="P90" s="66"/>
      <c r="Q90" s="66"/>
      <c r="R90" s="66"/>
      <c r="S90" s="66"/>
      <c r="T90" s="17"/>
      <c r="U90" s="17"/>
      <c r="V90" s="49"/>
      <c r="W90" s="49"/>
      <c r="X90" s="49"/>
      <c r="Y90" s="17"/>
      <c r="Z90" s="17"/>
      <c r="AA90" s="17"/>
      <c r="AB90" s="17"/>
      <c r="AC90" s="17"/>
      <c r="AD90" s="17"/>
      <c r="AE90" s="17"/>
      <c r="AF90" s="13"/>
      <c r="AG90" s="13"/>
      <c r="AH90" s="13"/>
      <c r="AI90" s="13"/>
      <c r="AJ90" s="13"/>
      <c r="AK90" s="13"/>
      <c r="AL90" s="13"/>
      <c r="AM90" s="13"/>
      <c r="AN90" s="14"/>
      <c r="AO90" s="84"/>
      <c r="AP90" s="84"/>
    </row>
    <row r="91" spans="1:48" ht="6" customHeight="1">
      <c r="A91" s="13"/>
      <c r="B91" s="182"/>
      <c r="C91" s="13"/>
      <c r="D91" s="13"/>
      <c r="E91" s="13"/>
      <c r="F91" s="13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13"/>
      <c r="U91" s="13"/>
      <c r="V91" s="48"/>
      <c r="W91" s="48"/>
      <c r="X91" s="48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4"/>
    </row>
    <row r="92" spans="1:48" ht="15.75" customHeight="1">
      <c r="A92" s="13"/>
      <c r="B92" s="182"/>
      <c r="C92" s="13"/>
      <c r="D92" s="13"/>
      <c r="E92" s="13"/>
      <c r="F92" s="13" t="s">
        <v>240</v>
      </c>
      <c r="G92" s="65"/>
      <c r="H92" s="65"/>
      <c r="I92" s="65"/>
      <c r="J92" s="65"/>
      <c r="K92" s="65"/>
      <c r="L92" s="65"/>
      <c r="M92" s="417" t="s">
        <v>287</v>
      </c>
      <c r="N92" s="418"/>
      <c r="O92" s="418"/>
      <c r="P92" s="418"/>
      <c r="Q92" s="418"/>
      <c r="R92" s="418"/>
      <c r="S92" s="418"/>
      <c r="T92" s="418"/>
      <c r="U92" s="418"/>
      <c r="V92" s="418"/>
      <c r="W92" s="418"/>
      <c r="X92" s="418"/>
      <c r="Y92" s="418"/>
      <c r="Z92" s="418"/>
      <c r="AA92" s="418"/>
      <c r="AB92" s="418"/>
      <c r="AC92" s="418"/>
      <c r="AD92" s="418"/>
      <c r="AE92" s="418"/>
      <c r="AF92" s="13"/>
      <c r="AG92" s="13"/>
      <c r="AH92" s="13"/>
      <c r="AI92" s="13"/>
      <c r="AJ92" s="13"/>
      <c r="AK92" s="13"/>
      <c r="AL92" s="13"/>
      <c r="AM92" s="13"/>
      <c r="AN92" s="14"/>
    </row>
    <row r="93" spans="1:48" ht="6" customHeight="1">
      <c r="A93" s="13"/>
      <c r="B93" s="182"/>
      <c r="C93" s="13"/>
      <c r="D93" s="13"/>
      <c r="E93" s="13"/>
      <c r="F93" s="13"/>
      <c r="G93" s="65"/>
      <c r="H93" s="65"/>
      <c r="I93" s="65"/>
      <c r="J93" s="65"/>
      <c r="K93" s="65"/>
      <c r="L93" s="65"/>
      <c r="M93" s="417" t="s">
        <v>241</v>
      </c>
      <c r="N93" s="418"/>
      <c r="O93" s="418"/>
      <c r="P93" s="418"/>
      <c r="Q93" s="418"/>
      <c r="R93" s="418"/>
      <c r="S93" s="418"/>
      <c r="T93" s="418"/>
      <c r="U93" s="418"/>
      <c r="V93" s="418"/>
      <c r="W93" s="418"/>
      <c r="X93" s="418"/>
      <c r="Y93" s="418"/>
      <c r="Z93" s="418"/>
      <c r="AA93" s="418"/>
      <c r="AB93" s="418"/>
      <c r="AC93" s="418"/>
      <c r="AD93" s="418"/>
      <c r="AE93" s="418"/>
      <c r="AF93" s="13"/>
      <c r="AG93" s="13"/>
      <c r="AH93" s="13"/>
      <c r="AI93" s="13"/>
      <c r="AJ93" s="13"/>
      <c r="AK93" s="13"/>
      <c r="AL93" s="13"/>
      <c r="AM93" s="13"/>
      <c r="AN93" s="14"/>
    </row>
    <row r="94" spans="1:48" ht="12" customHeight="1">
      <c r="A94" s="13"/>
      <c r="B94" s="182"/>
      <c r="C94" s="13"/>
      <c r="D94" s="13"/>
      <c r="E94" s="13"/>
      <c r="F94" s="13"/>
      <c r="G94" s="65"/>
      <c r="H94" s="65"/>
      <c r="I94" s="65"/>
      <c r="J94" s="65"/>
      <c r="K94" s="65"/>
      <c r="L94" s="65"/>
      <c r="M94" s="418"/>
      <c r="N94" s="418"/>
      <c r="O94" s="418"/>
      <c r="P94" s="418"/>
      <c r="Q94" s="418"/>
      <c r="R94" s="418"/>
      <c r="S94" s="418"/>
      <c r="T94" s="418"/>
      <c r="U94" s="418"/>
      <c r="V94" s="418"/>
      <c r="W94" s="418"/>
      <c r="X94" s="418"/>
      <c r="Y94" s="418"/>
      <c r="Z94" s="418"/>
      <c r="AA94" s="418"/>
      <c r="AB94" s="418"/>
      <c r="AC94" s="418"/>
      <c r="AD94" s="418"/>
      <c r="AE94" s="418"/>
      <c r="AF94" s="13"/>
      <c r="AG94" s="13"/>
      <c r="AH94" s="13"/>
      <c r="AI94" s="13"/>
      <c r="AJ94" s="13"/>
      <c r="AK94" s="13"/>
      <c r="AL94" s="13"/>
      <c r="AM94" s="13"/>
      <c r="AN94" s="14"/>
    </row>
    <row r="95" spans="1:48" ht="6" customHeight="1">
      <c r="A95" s="13"/>
      <c r="B95" s="182"/>
      <c r="C95" s="13"/>
      <c r="D95" s="13"/>
      <c r="E95" s="13"/>
      <c r="F95" s="13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13"/>
      <c r="U95" s="13"/>
      <c r="V95" s="48"/>
      <c r="W95" s="48"/>
      <c r="X95" s="48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4"/>
    </row>
    <row r="96" spans="1:48" ht="12" customHeight="1">
      <c r="A96" s="13"/>
      <c r="B96" s="414"/>
      <c r="C96" s="415"/>
      <c r="D96" s="415"/>
      <c r="E96" s="415"/>
      <c r="F96" s="415"/>
      <c r="G96" s="415"/>
      <c r="H96" s="415"/>
      <c r="I96" s="415"/>
      <c r="J96" s="415"/>
      <c r="K96" s="415"/>
      <c r="L96" s="415"/>
      <c r="M96" s="415"/>
      <c r="N96" s="415"/>
      <c r="O96" s="415"/>
      <c r="P96" s="415"/>
      <c r="Q96" s="415"/>
      <c r="R96" s="415"/>
      <c r="S96" s="415"/>
      <c r="T96" s="415"/>
      <c r="U96" s="415"/>
      <c r="V96" s="415"/>
      <c r="W96" s="415"/>
      <c r="X96" s="415"/>
      <c r="Y96" s="415"/>
      <c r="Z96" s="415"/>
      <c r="AA96" s="415"/>
      <c r="AB96" s="415"/>
      <c r="AC96" s="415"/>
      <c r="AD96" s="415"/>
      <c r="AE96" s="415"/>
      <c r="AF96" s="415"/>
      <c r="AG96" s="415"/>
      <c r="AH96" s="415"/>
      <c r="AI96" s="415"/>
      <c r="AJ96" s="415"/>
      <c r="AK96" s="415"/>
      <c r="AL96" s="415"/>
      <c r="AM96" s="415"/>
      <c r="AN96" s="416"/>
      <c r="AO96" s="84"/>
    </row>
    <row r="97" spans="1:41" ht="12" customHeight="1">
      <c r="A97" s="13"/>
      <c r="B97" s="13"/>
      <c r="C97" s="13"/>
      <c r="D97" s="13"/>
      <c r="E97" s="13"/>
      <c r="F97" s="13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13"/>
      <c r="U97" s="13"/>
      <c r="V97" s="48"/>
      <c r="W97" s="48"/>
      <c r="X97" s="48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</row>
    <row r="98" spans="1:41" ht="12" customHeight="1">
      <c r="A98" s="13"/>
      <c r="B98" s="13"/>
      <c r="C98" s="13"/>
      <c r="D98" s="13"/>
      <c r="E98" s="13"/>
      <c r="F98" s="13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13"/>
      <c r="U98" s="13"/>
      <c r="V98" s="48"/>
      <c r="W98" s="48"/>
      <c r="X98" s="48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</row>
    <row r="99" spans="1:41" ht="12" customHeight="1">
      <c r="A99" s="13"/>
      <c r="B99" s="13"/>
      <c r="C99" s="13"/>
      <c r="D99" s="13"/>
      <c r="E99" s="13"/>
      <c r="F99" s="13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13"/>
      <c r="U99" s="13"/>
      <c r="V99" s="48"/>
      <c r="W99" s="48"/>
      <c r="X99" s="48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84"/>
    </row>
    <row r="100" spans="1:41" ht="12" customHeight="1">
      <c r="A100" s="13"/>
      <c r="B100" s="13"/>
      <c r="C100" s="13"/>
      <c r="D100" s="13"/>
      <c r="E100" s="13"/>
      <c r="F100" s="13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13"/>
      <c r="U100" s="13"/>
      <c r="V100" s="48"/>
      <c r="W100" s="48"/>
      <c r="X100" s="48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</row>
    <row r="101" spans="1:41" ht="12" customHeight="1">
      <c r="A101" s="13"/>
      <c r="B101" s="13"/>
      <c r="C101" s="13"/>
      <c r="D101" s="13"/>
      <c r="E101" s="13"/>
      <c r="F101" s="13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13"/>
      <c r="U101" s="13"/>
      <c r="V101" s="48"/>
      <c r="W101" s="48"/>
      <c r="X101" s="48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</row>
    <row r="102" spans="1:41" ht="12" customHeight="1">
      <c r="A102" s="13"/>
      <c r="B102" s="13"/>
      <c r="C102" s="13"/>
      <c r="D102" s="13"/>
      <c r="E102" s="13"/>
      <c r="F102" s="13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13"/>
      <c r="U102" s="13"/>
      <c r="V102" s="48"/>
      <c r="W102" s="48"/>
      <c r="X102" s="48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</row>
    <row r="103" spans="1:41" ht="12" customHeight="1">
      <c r="A103" s="13"/>
      <c r="B103" s="13"/>
      <c r="C103" s="13"/>
      <c r="D103" s="13"/>
      <c r="E103" s="13"/>
      <c r="F103" s="13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13"/>
      <c r="U103" s="13"/>
      <c r="V103" s="48"/>
      <c r="W103" s="48"/>
      <c r="X103" s="48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</row>
    <row r="104" spans="1:41" ht="12" customHeight="1">
      <c r="A104" s="13"/>
      <c r="B104" s="13"/>
      <c r="C104" s="13"/>
      <c r="D104" s="13"/>
      <c r="E104" s="13"/>
      <c r="F104" s="13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13"/>
      <c r="U104" s="13"/>
      <c r="V104" s="48"/>
      <c r="W104" s="48"/>
      <c r="X104" s="48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</row>
    <row r="105" spans="1:41" ht="12" customHeight="1">
      <c r="A105" s="13"/>
      <c r="B105" s="13"/>
      <c r="C105" s="13"/>
      <c r="D105" s="13"/>
      <c r="E105" s="13"/>
      <c r="F105" s="13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13"/>
      <c r="U105" s="13"/>
      <c r="V105" s="48"/>
      <c r="W105" s="48"/>
      <c r="X105" s="48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</row>
    <row r="106" spans="1:41" ht="12" customHeight="1">
      <c r="A106" s="13"/>
      <c r="B106" s="13"/>
      <c r="C106" s="13"/>
      <c r="D106" s="13"/>
      <c r="E106" s="13"/>
      <c r="F106" s="13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13"/>
      <c r="U106" s="13"/>
      <c r="V106" s="48"/>
      <c r="W106" s="48"/>
      <c r="X106" s="48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</row>
    <row r="107" spans="1:41" ht="12" customHeight="1">
      <c r="A107" s="13"/>
      <c r="B107" s="13"/>
      <c r="C107" s="13"/>
      <c r="D107" s="13"/>
      <c r="E107" s="13"/>
      <c r="F107" s="13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13"/>
      <c r="U107" s="13"/>
      <c r="V107" s="48"/>
      <c r="W107" s="48"/>
      <c r="X107" s="48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</row>
    <row r="108" spans="1:41" ht="12" customHeight="1">
      <c r="A108" s="13"/>
      <c r="B108" s="13"/>
      <c r="C108" s="13"/>
      <c r="D108" s="13"/>
      <c r="E108" s="13"/>
      <c r="F108" s="13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13"/>
      <c r="U108" s="13"/>
      <c r="V108" s="48"/>
      <c r="W108" s="48"/>
      <c r="X108" s="48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</row>
    <row r="109" spans="1:41" ht="12" customHeight="1">
      <c r="A109" s="13"/>
      <c r="B109" s="13"/>
      <c r="C109" s="13"/>
      <c r="D109" s="13"/>
      <c r="E109" s="13"/>
      <c r="F109" s="13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13"/>
      <c r="U109" s="13"/>
      <c r="V109" s="48"/>
      <c r="W109" s="48"/>
      <c r="X109" s="48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</row>
    <row r="110" spans="1:41" ht="12" customHeight="1">
      <c r="A110" s="13"/>
      <c r="B110" s="13"/>
      <c r="C110" s="13"/>
      <c r="D110" s="13"/>
      <c r="E110" s="13"/>
      <c r="F110" s="13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13"/>
      <c r="U110" s="13"/>
      <c r="V110" s="48"/>
      <c r="W110" s="48"/>
      <c r="X110" s="48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</row>
    <row r="111" spans="1:41" ht="12" customHeight="1">
      <c r="A111" s="13"/>
      <c r="B111" s="13"/>
      <c r="C111" s="13"/>
      <c r="D111" s="13"/>
      <c r="E111" s="13"/>
      <c r="F111" s="13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13"/>
      <c r="U111" s="13"/>
      <c r="V111" s="48"/>
      <c r="W111" s="48"/>
      <c r="X111" s="48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</row>
    <row r="112" spans="1:41" ht="12" customHeight="1">
      <c r="A112" s="13"/>
      <c r="B112" s="13"/>
      <c r="C112" s="13"/>
      <c r="D112" s="13"/>
      <c r="E112" s="13"/>
      <c r="F112" s="13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13"/>
      <c r="U112" s="13"/>
      <c r="V112" s="48"/>
      <c r="W112" s="48"/>
      <c r="X112" s="48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</row>
    <row r="113" spans="1:40" ht="12" customHeight="1">
      <c r="A113" s="13"/>
      <c r="B113" s="13"/>
      <c r="C113" s="13"/>
      <c r="D113" s="13"/>
      <c r="E113" s="13"/>
      <c r="F113" s="13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13"/>
      <c r="U113" s="13"/>
      <c r="V113" s="48"/>
      <c r="W113" s="48"/>
      <c r="X113" s="48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</row>
    <row r="114" spans="1:40" ht="12" customHeight="1">
      <c r="A114" s="13"/>
      <c r="B114" s="13"/>
      <c r="C114" s="13"/>
      <c r="D114" s="13"/>
      <c r="E114" s="13"/>
      <c r="F114" s="13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13"/>
      <c r="U114" s="13"/>
      <c r="V114" s="48"/>
      <c r="W114" s="48"/>
      <c r="X114" s="48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</row>
    <row r="115" spans="1:40" ht="12" customHeight="1">
      <c r="A115" s="13"/>
      <c r="B115" s="13"/>
      <c r="C115" s="13"/>
      <c r="D115" s="13"/>
      <c r="E115" s="13"/>
      <c r="F115" s="13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13"/>
      <c r="U115" s="13"/>
      <c r="V115" s="48"/>
      <c r="W115" s="48"/>
      <c r="X115" s="48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</row>
    <row r="116" spans="1:40" ht="12" customHeight="1">
      <c r="A116" s="13"/>
      <c r="B116" s="13"/>
      <c r="C116" s="13"/>
      <c r="D116" s="13"/>
      <c r="E116" s="13"/>
      <c r="F116" s="13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13"/>
      <c r="U116" s="13"/>
      <c r="V116" s="48"/>
      <c r="W116" s="48"/>
      <c r="X116" s="48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</row>
    <row r="117" spans="1:40" ht="12" customHeight="1">
      <c r="A117" s="13"/>
      <c r="B117" s="13"/>
      <c r="C117" s="13"/>
      <c r="D117" s="13"/>
      <c r="E117" s="13"/>
      <c r="F117" s="13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13"/>
      <c r="U117" s="13"/>
      <c r="V117" s="48"/>
      <c r="W117" s="48"/>
      <c r="X117" s="48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</row>
    <row r="118" spans="1:40" ht="12" customHeight="1">
      <c r="A118" s="13"/>
      <c r="B118" s="13"/>
      <c r="C118" s="13"/>
      <c r="D118" s="13"/>
      <c r="E118" s="13"/>
      <c r="F118" s="13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13"/>
      <c r="U118" s="13"/>
      <c r="V118" s="48"/>
      <c r="W118" s="48"/>
      <c r="X118" s="48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</row>
    <row r="119" spans="1:40" ht="12" customHeight="1">
      <c r="A119" s="13"/>
      <c r="B119" s="13"/>
      <c r="C119" s="13"/>
      <c r="D119" s="13"/>
      <c r="E119" s="13"/>
      <c r="F119" s="13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13"/>
      <c r="U119" s="13"/>
      <c r="V119" s="48"/>
      <c r="W119" s="48"/>
      <c r="X119" s="48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</row>
    <row r="120" spans="1:40" ht="12" customHeight="1">
      <c r="A120" s="13"/>
      <c r="B120" s="13"/>
      <c r="C120" s="13"/>
      <c r="D120" s="13"/>
      <c r="E120" s="13"/>
      <c r="F120" s="13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13"/>
      <c r="U120" s="13"/>
      <c r="V120" s="48"/>
      <c r="W120" s="48"/>
      <c r="X120" s="48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</row>
    <row r="121" spans="1:40" ht="12" customHeight="1">
      <c r="A121" s="13"/>
      <c r="B121" s="13"/>
      <c r="C121" s="13"/>
      <c r="D121" s="13"/>
      <c r="E121" s="13"/>
      <c r="F121" s="13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13"/>
      <c r="U121" s="13"/>
      <c r="V121" s="48"/>
      <c r="W121" s="48"/>
      <c r="X121" s="48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</row>
    <row r="122" spans="1:40" ht="12" customHeight="1">
      <c r="A122" s="13"/>
      <c r="B122" s="13"/>
      <c r="C122" s="13"/>
      <c r="D122" s="13"/>
      <c r="E122" s="13"/>
      <c r="F122" s="13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13"/>
      <c r="U122" s="13"/>
      <c r="V122" s="48"/>
      <c r="W122" s="48"/>
      <c r="X122" s="48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</row>
    <row r="123" spans="1:40" ht="12" customHeight="1">
      <c r="A123" s="13"/>
      <c r="B123" s="13"/>
      <c r="C123" s="13"/>
      <c r="D123" s="13"/>
      <c r="E123" s="13"/>
      <c r="F123" s="13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13"/>
      <c r="U123" s="13"/>
      <c r="V123" s="48"/>
      <c r="W123" s="48"/>
      <c r="X123" s="48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</row>
    <row r="124" spans="1:40" ht="12" customHeight="1">
      <c r="A124" s="13"/>
      <c r="B124" s="13"/>
      <c r="C124" s="13"/>
      <c r="D124" s="13"/>
      <c r="E124" s="13"/>
      <c r="F124" s="13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13"/>
      <c r="U124" s="13"/>
      <c r="V124" s="48"/>
      <c r="W124" s="48"/>
      <c r="X124" s="48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</row>
    <row r="125" spans="1:40" ht="12" customHeight="1">
      <c r="A125" s="13"/>
      <c r="B125" s="13"/>
      <c r="C125" s="13"/>
      <c r="D125" s="13"/>
      <c r="E125" s="13"/>
      <c r="F125" s="13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13"/>
      <c r="U125" s="13"/>
      <c r="V125" s="48"/>
      <c r="W125" s="48"/>
      <c r="X125" s="48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</row>
    <row r="126" spans="1:40" ht="12" customHeight="1">
      <c r="A126" s="13"/>
      <c r="B126" s="13"/>
      <c r="C126" s="13"/>
      <c r="D126" s="13"/>
      <c r="E126" s="13"/>
      <c r="F126" s="13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13"/>
      <c r="U126" s="13"/>
      <c r="V126" s="48"/>
      <c r="W126" s="48"/>
      <c r="X126" s="48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</row>
    <row r="127" spans="1:40" ht="12" customHeight="1">
      <c r="A127" s="13"/>
      <c r="B127" s="13"/>
      <c r="C127" s="13"/>
      <c r="D127" s="13"/>
      <c r="E127" s="13"/>
      <c r="F127" s="13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13"/>
      <c r="U127" s="13"/>
      <c r="V127" s="48"/>
      <c r="W127" s="48"/>
      <c r="X127" s="48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</row>
    <row r="128" spans="1:40" ht="12" customHeight="1">
      <c r="A128" s="13"/>
      <c r="B128" s="13"/>
      <c r="C128" s="13"/>
      <c r="D128" s="13"/>
      <c r="E128" s="13"/>
      <c r="F128" s="13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13"/>
      <c r="U128" s="13"/>
      <c r="V128" s="48"/>
      <c r="W128" s="48"/>
      <c r="X128" s="48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</row>
    <row r="129" spans="1:40" ht="12" customHeight="1">
      <c r="A129" s="13"/>
      <c r="B129" s="13"/>
      <c r="C129" s="13"/>
      <c r="D129" s="13"/>
      <c r="E129" s="13"/>
      <c r="F129" s="13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13"/>
      <c r="U129" s="13"/>
      <c r="V129" s="48"/>
      <c r="W129" s="48"/>
      <c r="X129" s="48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</row>
    <row r="130" spans="1:40" ht="12" customHeight="1">
      <c r="A130" s="13"/>
      <c r="B130" s="13"/>
      <c r="C130" s="13"/>
      <c r="D130" s="13"/>
      <c r="E130" s="13"/>
      <c r="F130" s="13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13"/>
      <c r="U130" s="13"/>
      <c r="V130" s="48"/>
      <c r="W130" s="48"/>
      <c r="X130" s="48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</row>
    <row r="131" spans="1:40" ht="12" customHeight="1">
      <c r="A131" s="13"/>
      <c r="B131" s="13"/>
      <c r="C131" s="13"/>
      <c r="D131" s="13"/>
      <c r="E131" s="13"/>
      <c r="F131" s="13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13"/>
      <c r="U131" s="13"/>
      <c r="V131" s="48"/>
      <c r="W131" s="48"/>
      <c r="X131" s="48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</row>
    <row r="132" spans="1:40" ht="12" customHeight="1">
      <c r="A132" s="13"/>
      <c r="B132" s="13"/>
      <c r="C132" s="13"/>
      <c r="D132" s="13"/>
      <c r="E132" s="13"/>
      <c r="F132" s="13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13"/>
      <c r="U132" s="13"/>
      <c r="V132" s="48"/>
      <c r="W132" s="48"/>
      <c r="X132" s="48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</row>
    <row r="133" spans="1:40" ht="12" customHeight="1">
      <c r="A133" s="13"/>
      <c r="B133" s="13"/>
      <c r="C133" s="13"/>
      <c r="D133" s="13"/>
      <c r="E133" s="13"/>
      <c r="F133" s="13"/>
      <c r="G133" s="65"/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13"/>
      <c r="U133" s="13"/>
      <c r="V133" s="48"/>
      <c r="W133" s="48"/>
      <c r="X133" s="48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</row>
    <row r="134" spans="1:40" ht="12" customHeight="1">
      <c r="A134" s="13"/>
      <c r="B134" s="13"/>
      <c r="C134" s="13"/>
      <c r="D134" s="13"/>
      <c r="E134" s="13"/>
      <c r="F134" s="13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13"/>
      <c r="U134" s="13"/>
      <c r="V134" s="48"/>
      <c r="W134" s="48"/>
      <c r="X134" s="48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</row>
    <row r="135" spans="1:40" ht="12" customHeight="1">
      <c r="A135" s="13"/>
      <c r="B135" s="13"/>
      <c r="C135" s="13"/>
      <c r="D135" s="13"/>
      <c r="E135" s="13"/>
      <c r="F135" s="13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13"/>
      <c r="U135" s="13"/>
      <c r="V135" s="48"/>
      <c r="W135" s="48"/>
      <c r="X135" s="48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</row>
    <row r="136" spans="1:40" ht="12" customHeight="1">
      <c r="A136" s="13"/>
      <c r="B136" s="13"/>
      <c r="C136" s="13"/>
      <c r="D136" s="13"/>
      <c r="E136" s="13"/>
      <c r="F136" s="13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13"/>
      <c r="U136" s="13"/>
      <c r="V136" s="48"/>
      <c r="W136" s="48"/>
      <c r="X136" s="48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</row>
  </sheetData>
  <sheetProtection insertRows="0" selectLockedCells="1"/>
  <mergeCells count="351">
    <mergeCell ref="AI72:AN72"/>
    <mergeCell ref="M86:AE87"/>
    <mergeCell ref="G30:AN30"/>
    <mergeCell ref="C74:AH74"/>
    <mergeCell ref="C68:AH68"/>
    <mergeCell ref="AI68:AN68"/>
    <mergeCell ref="C63:AH63"/>
    <mergeCell ref="AI63:AN63"/>
    <mergeCell ref="C57:AH57"/>
    <mergeCell ref="AI57:AN57"/>
    <mergeCell ref="E61:F61"/>
    <mergeCell ref="C62:D62"/>
    <mergeCell ref="G65:S65"/>
    <mergeCell ref="M85:AE85"/>
    <mergeCell ref="C61:D61"/>
    <mergeCell ref="E62:F62"/>
    <mergeCell ref="E65:F65"/>
    <mergeCell ref="G66:S66"/>
    <mergeCell ref="C69:F69"/>
    <mergeCell ref="T61:U61"/>
    <mergeCell ref="AI60:AN60"/>
    <mergeCell ref="Y65:AA65"/>
    <mergeCell ref="AI65:AN65"/>
    <mergeCell ref="AB42:AE42"/>
    <mergeCell ref="AF42:AH42"/>
    <mergeCell ref="AB43:AE43"/>
    <mergeCell ref="AB61:AE61"/>
    <mergeCell ref="Y50:AA50"/>
    <mergeCell ref="G64:AN64"/>
    <mergeCell ref="T56:U56"/>
    <mergeCell ref="G55:AN55"/>
    <mergeCell ref="G52:AN52"/>
    <mergeCell ref="G41:AN41"/>
    <mergeCell ref="C40:AH40"/>
    <mergeCell ref="C60:D60"/>
    <mergeCell ref="C44:D44"/>
    <mergeCell ref="E59:F59"/>
    <mergeCell ref="AI51:AN51"/>
    <mergeCell ref="AF43:AH43"/>
    <mergeCell ref="AF44:AH44"/>
    <mergeCell ref="C30:F30"/>
    <mergeCell ref="C35:F35"/>
    <mergeCell ref="G36:S36"/>
    <mergeCell ref="E33:F33"/>
    <mergeCell ref="G33:S33"/>
    <mergeCell ref="Y33:AA33"/>
    <mergeCell ref="E31:F31"/>
    <mergeCell ref="G35:AN35"/>
    <mergeCell ref="Y31:AA31"/>
    <mergeCell ref="G31:S31"/>
    <mergeCell ref="AI37:AN37"/>
    <mergeCell ref="AF37:AH37"/>
    <mergeCell ref="AB37:AE37"/>
    <mergeCell ref="T33:U33"/>
    <mergeCell ref="V33:X33"/>
    <mergeCell ref="AB31:AE31"/>
    <mergeCell ref="C34:AH34"/>
    <mergeCell ref="AF31:AH31"/>
    <mergeCell ref="AI31:AN31"/>
    <mergeCell ref="T37:U37"/>
    <mergeCell ref="AB44:AE44"/>
    <mergeCell ref="AI44:AN44"/>
    <mergeCell ref="AI40:AN40"/>
    <mergeCell ref="AI34:AN34"/>
    <mergeCell ref="AF33:AH33"/>
    <mergeCell ref="AI33:AN33"/>
    <mergeCell ref="AF36:AH36"/>
    <mergeCell ref="AI36:AN36"/>
    <mergeCell ref="AI42:AN42"/>
    <mergeCell ref="AB38:AE38"/>
    <mergeCell ref="G45:S45"/>
    <mergeCell ref="G46:S46"/>
    <mergeCell ref="G47:S47"/>
    <mergeCell ref="G48:S48"/>
    <mergeCell ref="G49:S49"/>
    <mergeCell ref="T46:U46"/>
    <mergeCell ref="T49:U49"/>
    <mergeCell ref="T45:U45"/>
    <mergeCell ref="G42:S42"/>
    <mergeCell ref="G43:S43"/>
    <mergeCell ref="G44:S44"/>
    <mergeCell ref="E60:F60"/>
    <mergeCell ref="C47:D47"/>
    <mergeCell ref="C58:F58"/>
    <mergeCell ref="C51:AH51"/>
    <mergeCell ref="C56:D56"/>
    <mergeCell ref="E56:F56"/>
    <mergeCell ref="T48:U48"/>
    <mergeCell ref="T59:U59"/>
    <mergeCell ref="T62:U62"/>
    <mergeCell ref="T60:U60"/>
    <mergeCell ref="G62:S62"/>
    <mergeCell ref="Y61:AA61"/>
    <mergeCell ref="T65:U65"/>
    <mergeCell ref="G59:S59"/>
    <mergeCell ref="G60:S60"/>
    <mergeCell ref="G61:S61"/>
    <mergeCell ref="Y62:AA62"/>
    <mergeCell ref="T50:U50"/>
    <mergeCell ref="V65:X65"/>
    <mergeCell ref="V42:X42"/>
    <mergeCell ref="Y43:AA43"/>
    <mergeCell ref="V44:X44"/>
    <mergeCell ref="Y47:AA47"/>
    <mergeCell ref="T44:U44"/>
    <mergeCell ref="T43:U43"/>
    <mergeCell ref="V46:X46"/>
    <mergeCell ref="Y49:AA49"/>
    <mergeCell ref="G50:S50"/>
    <mergeCell ref="C64:F64"/>
    <mergeCell ref="G58:AN58"/>
    <mergeCell ref="AB60:AE60"/>
    <mergeCell ref="C53:D53"/>
    <mergeCell ref="C59:D59"/>
    <mergeCell ref="V56:X56"/>
    <mergeCell ref="G56:S56"/>
    <mergeCell ref="C55:F55"/>
    <mergeCell ref="C52:F52"/>
    <mergeCell ref="T70:U70"/>
    <mergeCell ref="AF70:AH70"/>
    <mergeCell ref="AI70:AN70"/>
    <mergeCell ref="AF71:AH71"/>
    <mergeCell ref="AB73:AE73"/>
    <mergeCell ref="AI74:AN74"/>
    <mergeCell ref="AF73:AH73"/>
    <mergeCell ref="AB72:AE72"/>
    <mergeCell ref="Y73:AA73"/>
    <mergeCell ref="AI73:AN73"/>
    <mergeCell ref="T71:U71"/>
    <mergeCell ref="AB71:AE71"/>
    <mergeCell ref="AF75:AH75"/>
    <mergeCell ref="G71:S71"/>
    <mergeCell ref="G72:S72"/>
    <mergeCell ref="AB75:AE75"/>
    <mergeCell ref="G73:S73"/>
    <mergeCell ref="Y72:AA72"/>
    <mergeCell ref="V71:X71"/>
    <mergeCell ref="T72:U72"/>
    <mergeCell ref="C65:D65"/>
    <mergeCell ref="C70:D70"/>
    <mergeCell ref="E71:F71"/>
    <mergeCell ref="G67:S67"/>
    <mergeCell ref="G70:S70"/>
    <mergeCell ref="E67:F67"/>
    <mergeCell ref="C66:D66"/>
    <mergeCell ref="C67:D67"/>
    <mergeCell ref="E70:F70"/>
    <mergeCell ref="G69:AN69"/>
    <mergeCell ref="M92:AE92"/>
    <mergeCell ref="B81:AN81"/>
    <mergeCell ref="C71:D71"/>
    <mergeCell ref="E73:F73"/>
    <mergeCell ref="E72:F72"/>
    <mergeCell ref="F77:AM80"/>
    <mergeCell ref="Y75:AA75"/>
    <mergeCell ref="C72:D72"/>
    <mergeCell ref="T73:U73"/>
    <mergeCell ref="V72:X72"/>
    <mergeCell ref="B27:B29"/>
    <mergeCell ref="E28:F28"/>
    <mergeCell ref="C42:D42"/>
    <mergeCell ref="C43:D43"/>
    <mergeCell ref="E32:F32"/>
    <mergeCell ref="C32:D32"/>
    <mergeCell ref="C36:D36"/>
    <mergeCell ref="C39:D39"/>
    <mergeCell ref="E37:F37"/>
    <mergeCell ref="C38:D38"/>
    <mergeCell ref="E49:F49"/>
    <mergeCell ref="C33:D33"/>
    <mergeCell ref="E50:F50"/>
    <mergeCell ref="E44:F44"/>
    <mergeCell ref="C49:D49"/>
    <mergeCell ref="C50:D50"/>
    <mergeCell ref="C48:D48"/>
    <mergeCell ref="E39:F39"/>
    <mergeCell ref="E48:F48"/>
    <mergeCell ref="E46:F46"/>
    <mergeCell ref="E45:F45"/>
    <mergeCell ref="C46:D46"/>
    <mergeCell ref="E43:F43"/>
    <mergeCell ref="E42:F42"/>
    <mergeCell ref="C41:F41"/>
    <mergeCell ref="E47:F47"/>
    <mergeCell ref="C45:D45"/>
    <mergeCell ref="Y32:AA32"/>
    <mergeCell ref="AB33:AE33"/>
    <mergeCell ref="V36:X36"/>
    <mergeCell ref="E36:F36"/>
    <mergeCell ref="E38:F38"/>
    <mergeCell ref="G37:S37"/>
    <mergeCell ref="G38:S38"/>
    <mergeCell ref="T38:U38"/>
    <mergeCell ref="T36:U36"/>
    <mergeCell ref="G32:S32"/>
    <mergeCell ref="C37:D37"/>
    <mergeCell ref="AB32:AE32"/>
    <mergeCell ref="Y36:AA36"/>
    <mergeCell ref="AB36:AE36"/>
    <mergeCell ref="Y38:AA38"/>
    <mergeCell ref="T39:U39"/>
    <mergeCell ref="G39:S39"/>
    <mergeCell ref="Y37:AA37"/>
    <mergeCell ref="T32:U32"/>
    <mergeCell ref="V38:X38"/>
    <mergeCell ref="T42:U42"/>
    <mergeCell ref="V39:X39"/>
    <mergeCell ref="Y39:AA39"/>
    <mergeCell ref="Y42:AA42"/>
    <mergeCell ref="G27:S29"/>
    <mergeCell ref="W24:X24"/>
    <mergeCell ref="V32:X32"/>
    <mergeCell ref="V37:X37"/>
    <mergeCell ref="T31:U31"/>
    <mergeCell ref="V31:X31"/>
    <mergeCell ref="O24:P24"/>
    <mergeCell ref="T27:U29"/>
    <mergeCell ref="V27:X29"/>
    <mergeCell ref="W23:X23"/>
    <mergeCell ref="O22:P22"/>
    <mergeCell ref="L22:M22"/>
    <mergeCell ref="L25:M25"/>
    <mergeCell ref="L23:M23"/>
    <mergeCell ref="O23:P23"/>
    <mergeCell ref="Y20:AN25"/>
    <mergeCell ref="Q18:X19"/>
    <mergeCell ref="K18:P19"/>
    <mergeCell ref="L21:M21"/>
    <mergeCell ref="O21:P21"/>
    <mergeCell ref="W25:X25"/>
    <mergeCell ref="O25:P25"/>
    <mergeCell ref="L20:M20"/>
    <mergeCell ref="O20:P20"/>
    <mergeCell ref="L24:M24"/>
    <mergeCell ref="AI32:AN32"/>
    <mergeCell ref="N2:AF3"/>
    <mergeCell ref="AE5:AN5"/>
    <mergeCell ref="AJ18:AN19"/>
    <mergeCell ref="W20:X20"/>
    <mergeCell ref="W21:X21"/>
    <mergeCell ref="W22:X22"/>
    <mergeCell ref="B14:W14"/>
    <mergeCell ref="B5:Y5"/>
    <mergeCell ref="Y18:AI19"/>
    <mergeCell ref="B11:W11"/>
    <mergeCell ref="X11:AL11"/>
    <mergeCell ref="AF32:AH32"/>
    <mergeCell ref="Y27:AN27"/>
    <mergeCell ref="Y29:AA29"/>
    <mergeCell ref="AB29:AE29"/>
    <mergeCell ref="Y28:AE28"/>
    <mergeCell ref="AF28:AN28"/>
    <mergeCell ref="AF29:AH29"/>
    <mergeCell ref="AI29:AN29"/>
    <mergeCell ref="AF38:AH38"/>
    <mergeCell ref="V43:X43"/>
    <mergeCell ref="AE8:AN8"/>
    <mergeCell ref="X14:AF14"/>
    <mergeCell ref="AG14:AN14"/>
    <mergeCell ref="AM11:AN11"/>
    <mergeCell ref="B8:AD8"/>
    <mergeCell ref="AI43:AN43"/>
    <mergeCell ref="AI38:AN38"/>
    <mergeCell ref="AB39:AE39"/>
    <mergeCell ref="Y45:AA45"/>
    <mergeCell ref="V47:X47"/>
    <mergeCell ref="AB59:AE59"/>
    <mergeCell ref="AB50:AE50"/>
    <mergeCell ref="Y44:AA44"/>
    <mergeCell ref="Y56:AA56"/>
    <mergeCell ref="V45:X45"/>
    <mergeCell ref="V48:X48"/>
    <mergeCell ref="V50:X50"/>
    <mergeCell ref="V53:X53"/>
    <mergeCell ref="Y53:AA53"/>
    <mergeCell ref="Y46:AA46"/>
    <mergeCell ref="C54:AH54"/>
    <mergeCell ref="T53:U53"/>
    <mergeCell ref="AB48:AE48"/>
    <mergeCell ref="AB49:AE49"/>
    <mergeCell ref="V49:X49"/>
    <mergeCell ref="E53:F53"/>
    <mergeCell ref="G53:S53"/>
    <mergeCell ref="T47:U47"/>
    <mergeCell ref="Y48:AA48"/>
    <mergeCell ref="AI48:AN48"/>
    <mergeCell ref="AI50:AN50"/>
    <mergeCell ref="AF53:AH53"/>
    <mergeCell ref="AF39:AH39"/>
    <mergeCell ref="AI39:AN39"/>
    <mergeCell ref="AI49:AN49"/>
    <mergeCell ref="AF48:AH48"/>
    <mergeCell ref="AF49:AH49"/>
    <mergeCell ref="AF50:AH50"/>
    <mergeCell ref="AB47:AE47"/>
    <mergeCell ref="AF47:AH47"/>
    <mergeCell ref="AI47:AN47"/>
    <mergeCell ref="AI46:AN46"/>
    <mergeCell ref="AB46:AE46"/>
    <mergeCell ref="AI45:AN45"/>
    <mergeCell ref="AB45:AE45"/>
    <mergeCell ref="AF45:AH45"/>
    <mergeCell ref="AF46:AH46"/>
    <mergeCell ref="AI62:AN62"/>
    <mergeCell ref="AB62:AE62"/>
    <mergeCell ref="AF62:AH62"/>
    <mergeCell ref="AI54:AN54"/>
    <mergeCell ref="AI53:AN53"/>
    <mergeCell ref="AF59:AH59"/>
    <mergeCell ref="AB53:AE53"/>
    <mergeCell ref="AI59:AN59"/>
    <mergeCell ref="AF61:AH61"/>
    <mergeCell ref="AF60:AH60"/>
    <mergeCell ref="AF66:AH66"/>
    <mergeCell ref="AB65:AE65"/>
    <mergeCell ref="AF67:AH67"/>
    <mergeCell ref="AI67:AN67"/>
    <mergeCell ref="Y71:AA71"/>
    <mergeCell ref="Y66:AA66"/>
    <mergeCell ref="AI66:AN66"/>
    <mergeCell ref="AB67:AE67"/>
    <mergeCell ref="AI71:AN71"/>
    <mergeCell ref="AF65:AH65"/>
    <mergeCell ref="AB70:AE70"/>
    <mergeCell ref="V59:X59"/>
    <mergeCell ref="Y67:AA67"/>
    <mergeCell ref="V62:X62"/>
    <mergeCell ref="Y59:AA59"/>
    <mergeCell ref="Y60:AA60"/>
    <mergeCell ref="AB66:AE66"/>
    <mergeCell ref="V60:X60"/>
    <mergeCell ref="B96:AN96"/>
    <mergeCell ref="M93:AE94"/>
    <mergeCell ref="V73:X73"/>
    <mergeCell ref="C73:D73"/>
    <mergeCell ref="AI75:AN75"/>
    <mergeCell ref="V66:X66"/>
    <mergeCell ref="V67:X67"/>
    <mergeCell ref="AF72:AH72"/>
    <mergeCell ref="V70:X70"/>
    <mergeCell ref="Y70:AA70"/>
    <mergeCell ref="C31:D31"/>
    <mergeCell ref="T66:U66"/>
    <mergeCell ref="T67:U67"/>
    <mergeCell ref="E66:F66"/>
    <mergeCell ref="B26:AN26"/>
    <mergeCell ref="AI56:AN56"/>
    <mergeCell ref="AF56:AH56"/>
    <mergeCell ref="AB56:AE56"/>
    <mergeCell ref="AI61:AN61"/>
    <mergeCell ref="V61:X61"/>
  </mergeCells>
  <phoneticPr fontId="0" type="noConversion"/>
  <printOptions horizontalCentered="1"/>
  <pageMargins left="0.39370078740157483" right="7.874015748031496E-2" top="0.39370078740157483" bottom="0.19685039370078741" header="0.19685039370078741" footer="7.874015748031496E-2"/>
  <pageSetup paperSize="9" scale="50" fitToWidth="0" orientation="portrait" horizontalDpi="4294967292" r:id="rId1"/>
  <headerFooter alignWithMargins="0">
    <oddFooter>&amp;L&amp;8&amp;P / &amp;N&amp;R&amp;8&amp;F  / &amp;A</oddFooter>
  </headerFooter>
  <rowBreaks count="1" manualBreakCount="1">
    <brk id="68" min="1" max="39" man="1"/>
  </rowBreaks>
  <drawing r:id="rId2"/>
  <legacyDrawing r:id="rId3"/>
  <controls>
    <mc:AlternateContent xmlns:mc="http://schemas.openxmlformats.org/markup-compatibility/2006">
      <mc:Choice Requires="x14">
        <control shapeId="11271" r:id="rId4" name="OptionButton2">
          <controlPr defaultSize="0" autoLine="0" linkedCell="AO16" r:id="rId5">
            <anchor moveWithCells="1">
              <from>
                <xdr:col>28</xdr:col>
                <xdr:colOff>30480</xdr:colOff>
                <xdr:row>14</xdr:row>
                <xdr:rowOff>38100</xdr:rowOff>
              </from>
              <to>
                <xdr:col>34</xdr:col>
                <xdr:colOff>30480</xdr:colOff>
                <xdr:row>16</xdr:row>
                <xdr:rowOff>45720</xdr:rowOff>
              </to>
            </anchor>
          </controlPr>
        </control>
      </mc:Choice>
      <mc:Fallback>
        <control shapeId="11271" r:id="rId4" name="OptionButton2"/>
      </mc:Fallback>
    </mc:AlternateContent>
    <mc:AlternateContent xmlns:mc="http://schemas.openxmlformats.org/markup-compatibility/2006">
      <mc:Choice Requires="x14">
        <control shapeId="11270" r:id="rId6" name="OptionButton1">
          <controlPr defaultSize="0" autoLine="0" r:id="rId7">
            <anchor moveWithCells="1">
              <from>
                <xdr:col>15</xdr:col>
                <xdr:colOff>0</xdr:colOff>
                <xdr:row>14</xdr:row>
                <xdr:rowOff>38100</xdr:rowOff>
              </from>
              <to>
                <xdr:col>20</xdr:col>
                <xdr:colOff>114300</xdr:colOff>
                <xdr:row>16</xdr:row>
                <xdr:rowOff>45720</xdr:rowOff>
              </to>
            </anchor>
          </controlPr>
        </control>
      </mc:Choice>
      <mc:Fallback>
        <control shapeId="11270" r:id="rId6" name="OptionButton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view="pageBreakPreview" zoomScale="130" zoomScaleNormal="100" zoomScaleSheetLayoutView="130" workbookViewId="0">
      <selection activeCell="C14" sqref="C14"/>
    </sheetView>
  </sheetViews>
  <sheetFormatPr defaultRowHeight="13.2"/>
  <cols>
    <col min="1" max="1" width="84" customWidth="1"/>
  </cols>
  <sheetData>
    <row r="1" spans="1:2" ht="13.8" thickBot="1">
      <c r="A1" s="882" t="s">
        <v>208</v>
      </c>
      <c r="B1" s="883"/>
    </row>
    <row r="2" spans="1:2">
      <c r="A2" s="161" t="s">
        <v>209</v>
      </c>
      <c r="B2" s="162">
        <v>530</v>
      </c>
    </row>
    <row r="3" spans="1:2">
      <c r="A3" s="163" t="s">
        <v>210</v>
      </c>
      <c r="B3" s="164">
        <v>530</v>
      </c>
    </row>
    <row r="4" spans="1:2">
      <c r="A4" s="163" t="s">
        <v>211</v>
      </c>
      <c r="B4" s="164">
        <f>420</f>
        <v>420</v>
      </c>
    </row>
    <row r="5" spans="1:2">
      <c r="A5" s="163" t="s">
        <v>212</v>
      </c>
      <c r="B5" s="165">
        <v>10</v>
      </c>
    </row>
    <row r="6" spans="1:2">
      <c r="A6" s="163" t="s">
        <v>213</v>
      </c>
      <c r="B6" s="164">
        <v>10</v>
      </c>
    </row>
    <row r="7" spans="1:2">
      <c r="A7" s="163" t="s">
        <v>249</v>
      </c>
      <c r="B7" s="164">
        <v>110</v>
      </c>
    </row>
    <row r="8" spans="1:2">
      <c r="A8" s="163" t="s">
        <v>214</v>
      </c>
      <c r="B8" s="164">
        <v>12</v>
      </c>
    </row>
    <row r="9" spans="1:2">
      <c r="A9" s="166" t="s">
        <v>215</v>
      </c>
      <c r="B9" s="164">
        <v>0</v>
      </c>
    </row>
    <row r="10" spans="1:2" ht="13.8" thickBot="1">
      <c r="A10" s="167" t="s">
        <v>216</v>
      </c>
      <c r="B10" s="168" t="s">
        <v>217</v>
      </c>
    </row>
  </sheetData>
  <mergeCells count="1">
    <mergeCell ref="A1:B1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topLeftCell="A7" workbookViewId="0">
      <selection activeCell="B7" sqref="B7"/>
    </sheetView>
  </sheetViews>
  <sheetFormatPr defaultColWidth="9.109375" defaultRowHeight="13.2"/>
  <cols>
    <col min="1" max="1" width="6.88671875" style="67" customWidth="1"/>
    <col min="2" max="2" width="52.88671875" style="67" customWidth="1"/>
    <col min="3" max="3" width="14" style="67" bestFit="1" customWidth="1"/>
    <col min="4" max="4" width="9.33203125" style="67" customWidth="1"/>
    <col min="5" max="5" width="14.88671875" style="67" bestFit="1" customWidth="1"/>
    <col min="6" max="6" width="16.5546875" style="67" customWidth="1"/>
    <col min="7" max="7" width="29" style="67" customWidth="1"/>
    <col min="8" max="8" width="15.109375" style="67" customWidth="1"/>
    <col min="9" max="16384" width="9.109375" style="67"/>
  </cols>
  <sheetData>
    <row r="1" spans="1:8" ht="13.8" thickBot="1">
      <c r="A1" s="71"/>
      <c r="B1" s="72"/>
      <c r="C1" s="72"/>
      <c r="D1" s="72"/>
      <c r="E1" s="72"/>
      <c r="F1" s="72"/>
      <c r="H1" s="73"/>
    </row>
    <row r="2" spans="1:8" ht="21.6" thickBot="1">
      <c r="A2" s="549" t="s">
        <v>75</v>
      </c>
      <c r="B2" s="550"/>
      <c r="C2" s="550"/>
      <c r="D2" s="550"/>
      <c r="E2" s="550"/>
      <c r="F2" s="550"/>
      <c r="G2" s="551"/>
    </row>
    <row r="3" spans="1:8" ht="25.5" customHeight="1">
      <c r="A3" s="68"/>
      <c r="B3" s="69" t="s">
        <v>92</v>
      </c>
      <c r="G3" s="74"/>
    </row>
    <row r="4" spans="1:8" ht="21.75" customHeight="1" thickBot="1">
      <c r="A4" s="83" t="s">
        <v>58</v>
      </c>
      <c r="B4" s="562" t="s">
        <v>67</v>
      </c>
      <c r="C4" s="562"/>
      <c r="D4" s="562"/>
      <c r="E4" s="562"/>
      <c r="F4" s="562"/>
      <c r="G4" s="563"/>
    </row>
    <row r="5" spans="1:8">
      <c r="A5" s="68"/>
      <c r="G5" s="74"/>
    </row>
    <row r="6" spans="1:8" ht="13.8" thickBot="1">
      <c r="A6" s="75"/>
      <c r="E6" s="76"/>
      <c r="G6" s="74"/>
    </row>
    <row r="7" spans="1:8" ht="28.5" customHeight="1">
      <c r="A7" s="109" t="s">
        <v>49</v>
      </c>
      <c r="B7" s="110" t="s">
        <v>48</v>
      </c>
      <c r="C7" s="80"/>
      <c r="D7" s="568"/>
      <c r="E7" s="569"/>
      <c r="F7" s="569"/>
      <c r="G7" s="570"/>
    </row>
    <row r="8" spans="1:8" ht="87.75" customHeight="1">
      <c r="A8" s="111" t="s">
        <v>50</v>
      </c>
      <c r="B8" s="112" t="s">
        <v>66</v>
      </c>
      <c r="C8" s="113" t="s">
        <v>83</v>
      </c>
      <c r="D8" s="544" t="s">
        <v>82</v>
      </c>
      <c r="E8" s="545"/>
      <c r="F8" s="545"/>
      <c r="G8" s="546"/>
    </row>
    <row r="9" spans="1:8" s="69" customFormat="1" ht="40.5" customHeight="1">
      <c r="A9" s="86"/>
      <c r="B9" s="87" t="s">
        <v>54</v>
      </c>
      <c r="C9" s="88"/>
      <c r="D9" s="558"/>
      <c r="E9" s="559"/>
      <c r="F9" s="559"/>
      <c r="G9" s="560"/>
    </row>
    <row r="10" spans="1:8" ht="42" customHeight="1">
      <c r="A10" s="111" t="s">
        <v>56</v>
      </c>
      <c r="B10" s="112" t="s">
        <v>80</v>
      </c>
      <c r="C10" s="113" t="s">
        <v>87</v>
      </c>
      <c r="D10" s="544" t="s">
        <v>86</v>
      </c>
      <c r="E10" s="545"/>
      <c r="F10" s="545"/>
      <c r="G10" s="546"/>
    </row>
    <row r="11" spans="1:8" ht="39.75" customHeight="1">
      <c r="A11" s="111" t="s">
        <v>57</v>
      </c>
      <c r="B11" s="78" t="s">
        <v>55</v>
      </c>
      <c r="C11" s="113" t="s">
        <v>85</v>
      </c>
      <c r="D11" s="555" t="s">
        <v>84</v>
      </c>
      <c r="E11" s="556"/>
      <c r="F11" s="556"/>
      <c r="G11" s="557"/>
    </row>
    <row r="12" spans="1:8" ht="36.75" customHeight="1">
      <c r="A12" s="111" t="s">
        <v>53</v>
      </c>
      <c r="B12" s="78" t="e">
        <f>PLANILHA!#REF!</f>
        <v>#REF!</v>
      </c>
      <c r="C12" s="113" t="s">
        <v>85</v>
      </c>
      <c r="D12" s="555" t="s">
        <v>84</v>
      </c>
      <c r="E12" s="556"/>
      <c r="F12" s="556"/>
      <c r="G12" s="557"/>
    </row>
    <row r="13" spans="1:8" ht="48.75" customHeight="1">
      <c r="A13" s="114" t="s">
        <v>59</v>
      </c>
      <c r="B13" s="112" t="s">
        <v>76</v>
      </c>
      <c r="C13" s="113" t="s">
        <v>90</v>
      </c>
      <c r="D13" s="544" t="s">
        <v>91</v>
      </c>
      <c r="E13" s="545"/>
      <c r="F13" s="545"/>
      <c r="G13" s="546"/>
    </row>
    <row r="14" spans="1:8" ht="36.75" customHeight="1">
      <c r="A14" s="114" t="s">
        <v>68</v>
      </c>
      <c r="B14" s="112" t="s">
        <v>77</v>
      </c>
      <c r="C14" s="113" t="s">
        <v>89</v>
      </c>
      <c r="D14" s="544" t="s">
        <v>88</v>
      </c>
      <c r="E14" s="545"/>
      <c r="F14" s="545"/>
      <c r="G14" s="546"/>
    </row>
    <row r="15" spans="1:8" s="69" customFormat="1" ht="30.75" customHeight="1">
      <c r="A15" s="107"/>
      <c r="B15" s="108" t="s">
        <v>52</v>
      </c>
      <c r="C15" s="88"/>
      <c r="D15" s="541"/>
      <c r="E15" s="542"/>
      <c r="F15" s="542"/>
      <c r="G15" s="543"/>
    </row>
    <row r="16" spans="1:8" ht="37.5" customHeight="1">
      <c r="A16" s="111" t="s">
        <v>69</v>
      </c>
      <c r="B16" s="77" t="str">
        <f>PLANILHA!G71</f>
        <v>ENSAIOS DE REGULARIZACAO DO SUBLEITO</v>
      </c>
      <c r="C16" s="81">
        <v>106</v>
      </c>
      <c r="D16" s="552" t="s">
        <v>64</v>
      </c>
      <c r="E16" s="553"/>
      <c r="F16" s="553"/>
      <c r="G16" s="554"/>
    </row>
    <row r="17" spans="1:7" ht="36" customHeight="1">
      <c r="A17" s="111" t="s">
        <v>70</v>
      </c>
      <c r="B17" s="77" t="str">
        <f>PLANILHA!G72</f>
        <v>ENSAIOS DE BASE ESTABILIZADA GRANULOMETRICAMENTE</v>
      </c>
      <c r="C17" s="81" t="e">
        <f>PLANILHA!V72</f>
        <v>#REF!</v>
      </c>
      <c r="D17" s="564" t="s">
        <v>65</v>
      </c>
      <c r="E17" s="565"/>
      <c r="F17" s="565"/>
      <c r="G17" s="566"/>
    </row>
    <row r="18" spans="1:7" ht="43.5" customHeight="1">
      <c r="A18" s="111" t="s">
        <v>71</v>
      </c>
      <c r="B18" s="77" t="str">
        <f>PLANILHA!G73</f>
        <v>ENSAIOS DE CONCRETO ASFALTICO</v>
      </c>
      <c r="C18" s="113" t="s">
        <v>78</v>
      </c>
      <c r="D18" s="567" t="s">
        <v>79</v>
      </c>
      <c r="E18" s="565"/>
      <c r="F18" s="565"/>
      <c r="G18" s="566"/>
    </row>
    <row r="19" spans="1:7" ht="33" customHeight="1" thickBot="1">
      <c r="A19" s="111" t="s">
        <v>72</v>
      </c>
      <c r="B19" s="79" t="e">
        <f>PLANILHA!#REF!</f>
        <v>#REF!</v>
      </c>
      <c r="C19" s="82">
        <v>13</v>
      </c>
      <c r="D19" s="552" t="s">
        <v>81</v>
      </c>
      <c r="E19" s="553"/>
      <c r="F19" s="553"/>
      <c r="G19" s="554"/>
    </row>
    <row r="20" spans="1:7">
      <c r="A20" s="561"/>
      <c r="B20" s="561"/>
      <c r="C20" s="561"/>
      <c r="D20" s="561"/>
      <c r="E20" s="561"/>
      <c r="F20" s="561"/>
      <c r="G20" s="561"/>
    </row>
    <row r="21" spans="1:7" ht="30.75" customHeight="1">
      <c r="B21" s="547" t="s">
        <v>73</v>
      </c>
      <c r="C21" s="547"/>
      <c r="D21" s="547"/>
      <c r="E21" s="547"/>
      <c r="F21" s="547"/>
      <c r="G21" s="547"/>
    </row>
    <row r="22" spans="1:7" ht="15" customHeight="1">
      <c r="B22" s="547" t="s">
        <v>74</v>
      </c>
      <c r="C22" s="547"/>
      <c r="D22" s="547"/>
      <c r="E22" s="547"/>
      <c r="F22" s="547"/>
      <c r="G22" s="547"/>
    </row>
    <row r="23" spans="1:7">
      <c r="B23" s="547"/>
      <c r="C23" s="547"/>
      <c r="D23" s="547"/>
      <c r="E23" s="547"/>
      <c r="F23" s="547"/>
      <c r="G23" s="547"/>
    </row>
    <row r="24" spans="1:7">
      <c r="C24" s="548"/>
      <c r="D24" s="548"/>
    </row>
  </sheetData>
  <mergeCells count="20">
    <mergeCell ref="D9:G9"/>
    <mergeCell ref="A20:G20"/>
    <mergeCell ref="B4:G4"/>
    <mergeCell ref="D13:G13"/>
    <mergeCell ref="D14:G14"/>
    <mergeCell ref="D16:G16"/>
    <mergeCell ref="D17:G17"/>
    <mergeCell ref="D18:G18"/>
    <mergeCell ref="D7:G7"/>
    <mergeCell ref="D11:G11"/>
    <mergeCell ref="D15:G15"/>
    <mergeCell ref="D10:G10"/>
    <mergeCell ref="B23:G23"/>
    <mergeCell ref="C24:D24"/>
    <mergeCell ref="A2:G2"/>
    <mergeCell ref="D8:G8"/>
    <mergeCell ref="B21:G21"/>
    <mergeCell ref="B22:G22"/>
    <mergeCell ref="D19:G19"/>
    <mergeCell ref="D12:G12"/>
  </mergeCells>
  <phoneticPr fontId="19" type="noConversion"/>
  <conditionalFormatting sqref="A7:B19">
    <cfRule type="expression" dxfId="0" priority="4" stopIfTrue="1">
      <formula>#REF!=1</formula>
    </cfRule>
  </conditionalFormatting>
  <pageMargins left="0.78740157480314965" right="0.78740157480314965" top="0.98425196850393704" bottom="0.98425196850393704" header="0.51181102362204722" footer="0.51181102362204722"/>
  <pageSetup paperSize="9" scale="60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opLeftCell="B9" workbookViewId="0">
      <selection activeCell="A6" sqref="A6:E6"/>
    </sheetView>
  </sheetViews>
  <sheetFormatPr defaultRowHeight="13.2"/>
  <cols>
    <col min="3" max="3" width="13.44140625" customWidth="1"/>
    <col min="4" max="4" width="12.33203125" customWidth="1"/>
    <col min="6" max="6" width="17.109375" customWidth="1"/>
    <col min="7" max="7" width="16.109375" customWidth="1"/>
    <col min="9" max="9" width="13.109375" bestFit="1" customWidth="1"/>
  </cols>
  <sheetData>
    <row r="1" spans="1:7">
      <c r="A1" s="183" t="s">
        <v>219</v>
      </c>
      <c r="B1" s="184"/>
      <c r="C1" s="577" t="e">
        <f>D14</f>
        <v>#REF!</v>
      </c>
      <c r="D1" s="578"/>
      <c r="E1" s="67" t="s">
        <v>220</v>
      </c>
    </row>
    <row r="2" spans="1:7">
      <c r="A2" s="571" t="s">
        <v>221</v>
      </c>
      <c r="B2" s="572"/>
      <c r="C2" s="579">
        <v>500000</v>
      </c>
      <c r="D2" s="580"/>
    </row>
    <row r="3" spans="1:7">
      <c r="A3" s="571" t="s">
        <v>222</v>
      </c>
      <c r="B3" s="572"/>
      <c r="C3" s="577" t="e">
        <f>C1-C2</f>
        <v>#REF!</v>
      </c>
      <c r="D3" s="578"/>
    </row>
    <row r="4" spans="1:7">
      <c r="A4" s="571" t="s">
        <v>223</v>
      </c>
      <c r="B4" s="572"/>
      <c r="C4" s="581" t="e">
        <f>C2/C1</f>
        <v>#REF!</v>
      </c>
      <c r="D4" s="582"/>
    </row>
    <row r="5" spans="1:7">
      <c r="F5" s="67" t="s">
        <v>224</v>
      </c>
      <c r="G5" s="67" t="s">
        <v>225</v>
      </c>
    </row>
    <row r="6" spans="1:7">
      <c r="A6" s="588" t="s">
        <v>226</v>
      </c>
      <c r="B6" s="589"/>
      <c r="C6" s="589"/>
      <c r="D6" s="589"/>
      <c r="E6" s="590"/>
      <c r="F6" s="185" t="s">
        <v>239</v>
      </c>
      <c r="G6" s="185" t="s">
        <v>61</v>
      </c>
    </row>
    <row r="7" spans="1:7">
      <c r="A7" s="70" t="s">
        <v>227</v>
      </c>
      <c r="B7" s="571" t="str">
        <f>'[1]PL BOA SORTE'!$C$10</f>
        <v>SERVICOS PRELIMINARES</v>
      </c>
      <c r="C7" s="572"/>
      <c r="D7" s="573" t="e">
        <f>PLANILHA!AI34</f>
        <v>#REF!</v>
      </c>
      <c r="E7" s="574"/>
      <c r="F7" s="186" t="e">
        <f t="shared" ref="F7:F13" si="0">D7-G7</f>
        <v>#REF!</v>
      </c>
      <c r="G7" s="186" t="e">
        <f t="shared" ref="G7:G13" si="1">D7-(D7*$C$4)</f>
        <v>#REF!</v>
      </c>
    </row>
    <row r="8" spans="1:7">
      <c r="A8" s="70" t="s">
        <v>228</v>
      </c>
      <c r="B8" s="571" t="s">
        <v>98</v>
      </c>
      <c r="C8" s="572"/>
      <c r="D8" s="573" t="e">
        <f>PLANILHA!AI40</f>
        <v>#REF!</v>
      </c>
      <c r="E8" s="574"/>
      <c r="F8" s="186" t="e">
        <f t="shared" si="0"/>
        <v>#REF!</v>
      </c>
      <c r="G8" s="186" t="e">
        <f t="shared" si="1"/>
        <v>#REF!</v>
      </c>
    </row>
    <row r="9" spans="1:7">
      <c r="A9" s="187" t="s">
        <v>229</v>
      </c>
      <c r="B9" s="571" t="s">
        <v>232</v>
      </c>
      <c r="C9" s="572"/>
      <c r="D9" s="573" t="e">
        <f>PLANILHA!AI51</f>
        <v>#REF!</v>
      </c>
      <c r="E9" s="574"/>
      <c r="F9" s="186" t="e">
        <f t="shared" si="0"/>
        <v>#REF!</v>
      </c>
      <c r="G9" s="186" t="e">
        <f t="shared" si="1"/>
        <v>#REF!</v>
      </c>
    </row>
    <row r="10" spans="1:7">
      <c r="A10" s="187" t="s">
        <v>49</v>
      </c>
      <c r="B10" s="571" t="s">
        <v>119</v>
      </c>
      <c r="C10" s="572"/>
      <c r="D10" s="573" t="e">
        <f>PLANILHA!AI54</f>
        <v>#REF!</v>
      </c>
      <c r="E10" s="574"/>
      <c r="F10" s="186" t="e">
        <f t="shared" si="0"/>
        <v>#REF!</v>
      </c>
      <c r="G10" s="186" t="e">
        <f t="shared" si="1"/>
        <v>#REF!</v>
      </c>
    </row>
    <row r="11" spans="1:7" ht="26.25" customHeight="1">
      <c r="A11" s="187" t="s">
        <v>236</v>
      </c>
      <c r="B11" s="575" t="s">
        <v>233</v>
      </c>
      <c r="C11" s="576"/>
      <c r="D11" s="573" t="e">
        <f>PLANILHA!AI63</f>
        <v>#REF!</v>
      </c>
      <c r="E11" s="574"/>
      <c r="F11" s="186" t="e">
        <f t="shared" si="0"/>
        <v>#REF!</v>
      </c>
      <c r="G11" s="186" t="e">
        <f t="shared" si="1"/>
        <v>#REF!</v>
      </c>
    </row>
    <row r="12" spans="1:7">
      <c r="A12" s="187" t="s">
        <v>237</v>
      </c>
      <c r="B12" s="571" t="s">
        <v>234</v>
      </c>
      <c r="C12" s="572"/>
      <c r="D12" s="573">
        <f>PLANILHA!AI68</f>
        <v>17449</v>
      </c>
      <c r="E12" s="574"/>
      <c r="F12" s="186" t="e">
        <f t="shared" si="0"/>
        <v>#REF!</v>
      </c>
      <c r="G12" s="186" t="e">
        <f t="shared" si="1"/>
        <v>#REF!</v>
      </c>
    </row>
    <row r="13" spans="1:7">
      <c r="A13" s="187" t="s">
        <v>238</v>
      </c>
      <c r="B13" s="571" t="s">
        <v>235</v>
      </c>
      <c r="C13" s="572"/>
      <c r="D13" s="573" t="e">
        <f>PLANILHA!AI74</f>
        <v>#REF!</v>
      </c>
      <c r="E13" s="574"/>
      <c r="F13" s="186" t="e">
        <f t="shared" si="0"/>
        <v>#REF!</v>
      </c>
      <c r="G13" s="186" t="e">
        <f t="shared" si="1"/>
        <v>#REF!</v>
      </c>
    </row>
    <row r="14" spans="1:7">
      <c r="A14" s="583" t="s">
        <v>230</v>
      </c>
      <c r="B14" s="584"/>
      <c r="C14" s="585"/>
      <c r="D14" s="586" t="e">
        <f>SUM(D7:E13)</f>
        <v>#REF!</v>
      </c>
      <c r="E14" s="587"/>
      <c r="F14" s="188" t="e">
        <f>SUM(F7:F13)</f>
        <v>#REF!</v>
      </c>
      <c r="G14" s="188" t="e">
        <f>SUM(G7:G13)</f>
        <v>#REF!</v>
      </c>
    </row>
    <row r="17" spans="7:9">
      <c r="G17" s="189"/>
      <c r="I17" s="199"/>
    </row>
  </sheetData>
  <mergeCells count="24">
    <mergeCell ref="B10:C10"/>
    <mergeCell ref="D10:E10"/>
    <mergeCell ref="A14:C14"/>
    <mergeCell ref="D14:E14"/>
    <mergeCell ref="A6:E6"/>
    <mergeCell ref="B7:C7"/>
    <mergeCell ref="D7:E7"/>
    <mergeCell ref="B8:C8"/>
    <mergeCell ref="D8:E8"/>
    <mergeCell ref="B9:C9"/>
    <mergeCell ref="D9:E9"/>
    <mergeCell ref="C1:D1"/>
    <mergeCell ref="A2:B2"/>
    <mergeCell ref="C2:D2"/>
    <mergeCell ref="A3:B3"/>
    <mergeCell ref="C3:D3"/>
    <mergeCell ref="A4:B4"/>
    <mergeCell ref="C4:D4"/>
    <mergeCell ref="B13:C13"/>
    <mergeCell ref="D13:E13"/>
    <mergeCell ref="B11:C11"/>
    <mergeCell ref="D11:E11"/>
    <mergeCell ref="B12:C12"/>
    <mergeCell ref="D12:E12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tabSelected="1" view="pageBreakPreview" topLeftCell="A40" zoomScaleNormal="100" zoomScaleSheetLayoutView="100" workbookViewId="0">
      <selection activeCell="A35" sqref="A35"/>
    </sheetView>
  </sheetViews>
  <sheetFormatPr defaultRowHeight="13.2"/>
  <cols>
    <col min="1" max="1" width="7" customWidth="1"/>
    <col min="2" max="2" width="10.44140625" style="380" customWidth="1"/>
    <col min="3" max="3" width="40.5546875" customWidth="1"/>
    <col min="4" max="4" width="9.33203125" customWidth="1"/>
    <col min="5" max="5" width="6.88671875" customWidth="1"/>
    <col min="6" max="6" width="13" customWidth="1"/>
    <col min="7" max="7" width="11.44140625" customWidth="1"/>
    <col min="8" max="8" width="12.109375" customWidth="1"/>
    <col min="9" max="9" width="14" customWidth="1"/>
    <col min="10" max="10" width="13.88671875" customWidth="1"/>
    <col min="11" max="11" width="9.109375" customWidth="1"/>
    <col min="16" max="16" width="12.109375" customWidth="1"/>
  </cols>
  <sheetData>
    <row r="1" spans="1:10" ht="28.5" customHeight="1" thickBot="1">
      <c r="A1" s="603" t="s">
        <v>439</v>
      </c>
      <c r="B1" s="604"/>
      <c r="C1" s="604"/>
      <c r="D1" s="604"/>
      <c r="E1" s="604"/>
      <c r="F1" s="604"/>
      <c r="G1" s="604"/>
      <c r="H1" s="604"/>
      <c r="I1" s="604"/>
      <c r="J1" s="605"/>
    </row>
    <row r="2" spans="1:10">
      <c r="A2" s="606"/>
      <c r="B2" s="607"/>
      <c r="C2" s="607"/>
      <c r="D2" s="607"/>
      <c r="E2" s="607"/>
      <c r="F2" s="607"/>
      <c r="G2" s="607"/>
      <c r="H2" s="607"/>
      <c r="I2" s="607"/>
      <c r="J2" s="608"/>
    </row>
    <row r="3" spans="1:10" s="244" customFormat="1" ht="15.75" customHeight="1">
      <c r="A3" s="609" t="s">
        <v>440</v>
      </c>
      <c r="B3" s="610"/>
      <c r="C3" s="610"/>
      <c r="D3" s="610"/>
      <c r="E3" s="610"/>
      <c r="F3" s="610"/>
      <c r="G3" s="610"/>
      <c r="H3" s="610"/>
      <c r="I3" s="610"/>
      <c r="J3" s="611"/>
    </row>
    <row r="4" spans="1:10" s="244" customFormat="1" ht="23.4" customHeight="1">
      <c r="A4" s="609" t="s">
        <v>646</v>
      </c>
      <c r="B4" s="610"/>
      <c r="C4" s="610"/>
      <c r="D4" s="610"/>
      <c r="E4" s="610"/>
      <c r="F4" s="610"/>
      <c r="G4" s="610"/>
      <c r="H4" s="610"/>
      <c r="I4" s="610"/>
      <c r="J4" s="611"/>
    </row>
    <row r="5" spans="1:10" s="244" customFormat="1" ht="30.6" customHeight="1">
      <c r="A5" s="399" t="s">
        <v>441</v>
      </c>
      <c r="B5" s="400"/>
      <c r="C5" s="400"/>
      <c r="D5" s="400"/>
      <c r="E5" s="400"/>
      <c r="F5" s="400"/>
      <c r="G5" s="400"/>
      <c r="H5" s="371" t="s">
        <v>601</v>
      </c>
      <c r="I5" s="591" t="s">
        <v>644</v>
      </c>
      <c r="J5" s="592"/>
    </row>
    <row r="6" spans="1:10" s="244" customFormat="1" ht="19.8" customHeight="1">
      <c r="A6" s="595" t="s">
        <v>659</v>
      </c>
      <c r="B6" s="596"/>
      <c r="C6" s="596" t="s">
        <v>519</v>
      </c>
      <c r="D6" s="596"/>
      <c r="E6" s="596"/>
      <c r="F6" s="596"/>
      <c r="G6" s="597"/>
      <c r="H6" s="612" t="s">
        <v>657</v>
      </c>
      <c r="I6" s="612"/>
      <c r="J6" s="401">
        <v>0.29249999999999998</v>
      </c>
    </row>
    <row r="7" spans="1:10" ht="19.8" customHeight="1">
      <c r="A7" s="274"/>
      <c r="B7" s="375"/>
      <c r="C7" s="273"/>
      <c r="D7" s="273"/>
      <c r="E7" s="273"/>
      <c r="F7" s="273"/>
      <c r="G7" s="273"/>
      <c r="H7" s="613" t="s">
        <v>658</v>
      </c>
      <c r="I7" s="613"/>
      <c r="J7" s="402">
        <v>0.28470000000000001</v>
      </c>
    </row>
    <row r="8" spans="1:10">
      <c r="A8" s="598" t="s">
        <v>442</v>
      </c>
      <c r="B8" s="600" t="s">
        <v>45</v>
      </c>
      <c r="C8" s="601" t="s">
        <v>443</v>
      </c>
      <c r="D8" s="601" t="s">
        <v>444</v>
      </c>
      <c r="E8" s="601" t="s">
        <v>445</v>
      </c>
      <c r="F8" s="601" t="s">
        <v>446</v>
      </c>
      <c r="G8" s="601" t="s">
        <v>447</v>
      </c>
      <c r="H8" s="615"/>
      <c r="I8" s="616" t="s">
        <v>448</v>
      </c>
      <c r="J8" s="617"/>
    </row>
    <row r="9" spans="1:10">
      <c r="A9" s="599"/>
      <c r="B9" s="599"/>
      <c r="C9" s="602"/>
      <c r="D9" s="602"/>
      <c r="E9" s="602"/>
      <c r="F9" s="602"/>
      <c r="G9" s="372" t="s">
        <v>449</v>
      </c>
      <c r="H9" s="372" t="s">
        <v>450</v>
      </c>
      <c r="I9" s="372" t="s">
        <v>449</v>
      </c>
      <c r="J9" s="321" t="s">
        <v>450</v>
      </c>
    </row>
    <row r="10" spans="1:10">
      <c r="A10" s="322" t="s">
        <v>451</v>
      </c>
      <c r="B10" s="593" t="s">
        <v>452</v>
      </c>
      <c r="C10" s="594"/>
      <c r="D10" s="594"/>
      <c r="E10" s="594"/>
      <c r="F10" s="594"/>
      <c r="G10" s="594"/>
      <c r="H10" s="594"/>
      <c r="I10" s="323">
        <f>ROUND(SUM(I11:I15),2)</f>
        <v>9269.1</v>
      </c>
      <c r="J10" s="324">
        <f>ROUND(SUM(J11:J15),2)</f>
        <v>11980.16</v>
      </c>
    </row>
    <row r="11" spans="1:10" ht="145.19999999999999">
      <c r="A11" s="325" t="s">
        <v>453</v>
      </c>
      <c r="B11" s="376" t="s">
        <v>545</v>
      </c>
      <c r="C11" s="348" t="s">
        <v>546</v>
      </c>
      <c r="D11" s="326" t="s">
        <v>454</v>
      </c>
      <c r="E11" s="326" t="s">
        <v>455</v>
      </c>
      <c r="F11" s="328">
        <f>'MEMORIA DE CÁLCULO'!I15</f>
        <v>1</v>
      </c>
      <c r="G11" s="328">
        <v>1201.6400000000001</v>
      </c>
      <c r="H11" s="328">
        <f>ROUND(G11*(1+$J$6),2)</f>
        <v>1553.12</v>
      </c>
      <c r="I11" s="328">
        <f>ROUND(F11*G11,2)</f>
        <v>1201.6400000000001</v>
      </c>
      <c r="J11" s="329">
        <f>ROUND(F11*H11,2)</f>
        <v>1553.12</v>
      </c>
    </row>
    <row r="12" spans="1:10" ht="39.6">
      <c r="A12" s="325" t="s">
        <v>456</v>
      </c>
      <c r="B12" s="376" t="s">
        <v>548</v>
      </c>
      <c r="C12" s="348" t="s">
        <v>547</v>
      </c>
      <c r="D12" s="326" t="s">
        <v>454</v>
      </c>
      <c r="E12" s="326" t="s">
        <v>457</v>
      </c>
      <c r="F12" s="328">
        <f>'MEMORIA DE CÁLCULO'!I22</f>
        <v>33.299999999999997</v>
      </c>
      <c r="G12" s="328">
        <v>9.65</v>
      </c>
      <c r="H12" s="328">
        <f t="shared" ref="H12:H43" si="0">ROUND(G12*(1+$J$6),2)</f>
        <v>12.47</v>
      </c>
      <c r="I12" s="328">
        <f t="shared" ref="I12:I31" si="1">ROUND(F12*G12,2)</f>
        <v>321.35000000000002</v>
      </c>
      <c r="J12" s="329">
        <f>ROUND(F12*H12,2)</f>
        <v>415.25</v>
      </c>
    </row>
    <row r="13" spans="1:10" ht="26.4">
      <c r="A13" s="325" t="s">
        <v>458</v>
      </c>
      <c r="B13" s="376" t="s">
        <v>549</v>
      </c>
      <c r="C13" s="348" t="s">
        <v>369</v>
      </c>
      <c r="D13" s="326" t="s">
        <v>454</v>
      </c>
      <c r="E13" s="326" t="s">
        <v>459</v>
      </c>
      <c r="F13" s="328">
        <f>'MEMORIA DE CÁLCULO'!I29</f>
        <v>154.19999999999999</v>
      </c>
      <c r="G13" s="328">
        <v>6.96</v>
      </c>
      <c r="H13" s="328">
        <f t="shared" si="0"/>
        <v>9</v>
      </c>
      <c r="I13" s="328">
        <f t="shared" si="1"/>
        <v>1073.23</v>
      </c>
      <c r="J13" s="329">
        <f>ROUND(F13*H13,2)</f>
        <v>1387.8</v>
      </c>
    </row>
    <row r="14" spans="1:10" ht="26.4">
      <c r="A14" s="325" t="s">
        <v>460</v>
      </c>
      <c r="B14" s="376" t="s">
        <v>550</v>
      </c>
      <c r="C14" s="327" t="s">
        <v>461</v>
      </c>
      <c r="D14" s="326" t="s">
        <v>454</v>
      </c>
      <c r="E14" s="326" t="s">
        <v>459</v>
      </c>
      <c r="F14" s="328">
        <f>'MEMORIA DE CÁLCULO'!I35</f>
        <v>154.19999999999999</v>
      </c>
      <c r="G14" s="328">
        <v>41.11</v>
      </c>
      <c r="H14" s="328">
        <f t="shared" si="0"/>
        <v>53.13</v>
      </c>
      <c r="I14" s="328">
        <f t="shared" si="1"/>
        <v>6339.16</v>
      </c>
      <c r="J14" s="329">
        <f>ROUND(F14*H14,2)</f>
        <v>8192.65</v>
      </c>
    </row>
    <row r="15" spans="1:10">
      <c r="A15" s="325" t="s">
        <v>462</v>
      </c>
      <c r="B15" s="376" t="s">
        <v>551</v>
      </c>
      <c r="C15" s="327" t="s">
        <v>463</v>
      </c>
      <c r="D15" s="326" t="s">
        <v>454</v>
      </c>
      <c r="E15" s="326" t="s">
        <v>455</v>
      </c>
      <c r="F15" s="328">
        <f>'MEMORIA DE CÁLCULO'!I42</f>
        <v>6</v>
      </c>
      <c r="G15" s="328">
        <v>55.62</v>
      </c>
      <c r="H15" s="328">
        <f t="shared" si="0"/>
        <v>71.89</v>
      </c>
      <c r="I15" s="328">
        <f t="shared" si="1"/>
        <v>333.72</v>
      </c>
      <c r="J15" s="329">
        <f>ROUND(F15*H15,2)</f>
        <v>431.34</v>
      </c>
    </row>
    <row r="16" spans="1:10">
      <c r="A16" s="322" t="s">
        <v>464</v>
      </c>
      <c r="B16" s="593" t="s">
        <v>465</v>
      </c>
      <c r="C16" s="594"/>
      <c r="D16" s="594"/>
      <c r="E16" s="594"/>
      <c r="F16" s="594"/>
      <c r="G16" s="594"/>
      <c r="H16" s="594"/>
      <c r="I16" s="323">
        <f>ROUND(SUM(I17:I25),2)</f>
        <v>46005.26</v>
      </c>
      <c r="J16" s="324">
        <f>ROUND(SUM(J17:J25),2)</f>
        <v>59463.93</v>
      </c>
    </row>
    <row r="17" spans="1:10" ht="26.4">
      <c r="A17" s="325" t="s">
        <v>466</v>
      </c>
      <c r="B17" s="376" t="s">
        <v>552</v>
      </c>
      <c r="C17" s="327" t="s">
        <v>467</v>
      </c>
      <c r="D17" s="326" t="s">
        <v>454</v>
      </c>
      <c r="E17" s="326" t="s">
        <v>459</v>
      </c>
      <c r="F17" s="328">
        <f>'MEMORIA DE CÁLCULO'!I53</f>
        <v>29.9</v>
      </c>
      <c r="G17" s="328">
        <v>8.6999999999999993</v>
      </c>
      <c r="H17" s="328">
        <f t="shared" si="0"/>
        <v>11.24</v>
      </c>
      <c r="I17" s="328">
        <f t="shared" si="1"/>
        <v>260.13</v>
      </c>
      <c r="J17" s="329">
        <f>ROUND(F17*H17,2)</f>
        <v>336.08</v>
      </c>
    </row>
    <row r="18" spans="1:10" ht="26.4">
      <c r="A18" s="325" t="s">
        <v>468</v>
      </c>
      <c r="B18" s="376" t="s">
        <v>555</v>
      </c>
      <c r="C18" s="348" t="s">
        <v>324</v>
      </c>
      <c r="D18" s="326" t="s">
        <v>454</v>
      </c>
      <c r="E18" s="326" t="s">
        <v>459</v>
      </c>
      <c r="F18" s="328">
        <f>'MEMORIA DE CÁLCULO'!I60</f>
        <v>6.16</v>
      </c>
      <c r="G18" s="328">
        <v>85.08</v>
      </c>
      <c r="H18" s="328">
        <f t="shared" si="0"/>
        <v>109.97</v>
      </c>
      <c r="I18" s="328">
        <f t="shared" si="1"/>
        <v>524.09</v>
      </c>
      <c r="J18" s="329">
        <f t="shared" ref="J18:J31" si="2">ROUND(F18*H18,2)</f>
        <v>677.42</v>
      </c>
    </row>
    <row r="19" spans="1:10" ht="26.4">
      <c r="A19" s="325" t="s">
        <v>470</v>
      </c>
      <c r="B19" s="376" t="s">
        <v>554</v>
      </c>
      <c r="C19" s="327" t="s">
        <v>471</v>
      </c>
      <c r="D19" s="326" t="s">
        <v>454</v>
      </c>
      <c r="E19" s="326" t="s">
        <v>457</v>
      </c>
      <c r="F19" s="328">
        <f>'MEMORIA DE CÁLCULO'!I69</f>
        <v>46</v>
      </c>
      <c r="G19" s="328">
        <v>12.12</v>
      </c>
      <c r="H19" s="328">
        <f t="shared" si="0"/>
        <v>15.67</v>
      </c>
      <c r="I19" s="328">
        <f t="shared" si="1"/>
        <v>557.52</v>
      </c>
      <c r="J19" s="329">
        <f t="shared" si="2"/>
        <v>720.82</v>
      </c>
    </row>
    <row r="20" spans="1:10" ht="39.6">
      <c r="A20" s="325" t="s">
        <v>472</v>
      </c>
      <c r="B20" s="376" t="s">
        <v>556</v>
      </c>
      <c r="C20" s="327" t="s">
        <v>473</v>
      </c>
      <c r="D20" s="326" t="s">
        <v>454</v>
      </c>
      <c r="E20" s="326" t="s">
        <v>459</v>
      </c>
      <c r="F20" s="328">
        <f>'MEMORIA DE CÁLCULO'!I78</f>
        <v>6.28</v>
      </c>
      <c r="G20" s="328">
        <v>549.04</v>
      </c>
      <c r="H20" s="328">
        <f t="shared" si="0"/>
        <v>709.63</v>
      </c>
      <c r="I20" s="328">
        <f t="shared" si="1"/>
        <v>3447.97</v>
      </c>
      <c r="J20" s="329">
        <f t="shared" si="2"/>
        <v>4456.4799999999996</v>
      </c>
    </row>
    <row r="21" spans="1:10" ht="52.8">
      <c r="A21" s="325" t="s">
        <v>474</v>
      </c>
      <c r="B21" s="376" t="s">
        <v>557</v>
      </c>
      <c r="C21" s="327" t="s">
        <v>475</v>
      </c>
      <c r="D21" s="326" t="s">
        <v>454</v>
      </c>
      <c r="E21" s="326" t="s">
        <v>457</v>
      </c>
      <c r="F21" s="328">
        <f>'MEMORIA DE CÁLCULO'!I87</f>
        <v>33.36</v>
      </c>
      <c r="G21" s="328">
        <v>51.76</v>
      </c>
      <c r="H21" s="328">
        <f t="shared" si="0"/>
        <v>66.900000000000006</v>
      </c>
      <c r="I21" s="328">
        <f t="shared" si="1"/>
        <v>1726.71</v>
      </c>
      <c r="J21" s="329">
        <f t="shared" si="2"/>
        <v>2231.7800000000002</v>
      </c>
    </row>
    <row r="22" spans="1:10" ht="26.4">
      <c r="A22" s="325" t="s">
        <v>476</v>
      </c>
      <c r="B22" s="376" t="s">
        <v>558</v>
      </c>
      <c r="C22" s="327" t="s">
        <v>477</v>
      </c>
      <c r="D22" s="326" t="s">
        <v>454</v>
      </c>
      <c r="E22" s="326" t="s">
        <v>478</v>
      </c>
      <c r="F22" s="328">
        <f>'MEMORIA DE CÁLCULO'!I95</f>
        <v>1720.76</v>
      </c>
      <c r="G22" s="328">
        <v>11.38</v>
      </c>
      <c r="H22" s="328">
        <f t="shared" si="0"/>
        <v>14.71</v>
      </c>
      <c r="I22" s="328">
        <f t="shared" si="1"/>
        <v>19582.25</v>
      </c>
      <c r="J22" s="329">
        <f t="shared" si="2"/>
        <v>25312.38</v>
      </c>
    </row>
    <row r="23" spans="1:10" ht="66">
      <c r="A23" s="325" t="s">
        <v>479</v>
      </c>
      <c r="B23" s="376" t="s">
        <v>559</v>
      </c>
      <c r="C23" s="327" t="s">
        <v>480</v>
      </c>
      <c r="D23" s="326" t="s">
        <v>454</v>
      </c>
      <c r="E23" s="326" t="s">
        <v>459</v>
      </c>
      <c r="F23" s="328">
        <f>'MEMORIA DE CÁLCULO'!I105</f>
        <v>26.7</v>
      </c>
      <c r="G23" s="328">
        <v>736.4</v>
      </c>
      <c r="H23" s="328">
        <f t="shared" si="0"/>
        <v>951.8</v>
      </c>
      <c r="I23" s="328">
        <f t="shared" si="1"/>
        <v>19661.88</v>
      </c>
      <c r="J23" s="329">
        <f t="shared" si="2"/>
        <v>25413.06</v>
      </c>
    </row>
    <row r="24" spans="1:10">
      <c r="A24" s="325" t="s">
        <v>481</v>
      </c>
      <c r="B24" s="376" t="s">
        <v>560</v>
      </c>
      <c r="C24" s="327" t="s">
        <v>482</v>
      </c>
      <c r="D24" s="326" t="s">
        <v>454</v>
      </c>
      <c r="E24" s="326" t="s">
        <v>459</v>
      </c>
      <c r="F24" s="328">
        <f>'MEMORIA DE CÁLCULO'!I111</f>
        <v>3.08</v>
      </c>
      <c r="G24" s="328">
        <v>63.2</v>
      </c>
      <c r="H24" s="328">
        <f t="shared" si="0"/>
        <v>81.69</v>
      </c>
      <c r="I24" s="328">
        <f t="shared" si="1"/>
        <v>194.66</v>
      </c>
      <c r="J24" s="329">
        <f t="shared" si="2"/>
        <v>251.61</v>
      </c>
    </row>
    <row r="25" spans="1:10" ht="52.8">
      <c r="A25" s="325" t="s">
        <v>483</v>
      </c>
      <c r="B25" s="376" t="s">
        <v>571</v>
      </c>
      <c r="C25" s="348" t="s">
        <v>351</v>
      </c>
      <c r="D25" s="326" t="s">
        <v>454</v>
      </c>
      <c r="E25" s="326" t="s">
        <v>484</v>
      </c>
      <c r="F25" s="328">
        <f>'MEMORIA DE CÁLCULO'!I117</f>
        <v>3.85</v>
      </c>
      <c r="G25" s="328">
        <v>13</v>
      </c>
      <c r="H25" s="328">
        <f>ROUND(G25*(1+$J$7),2)</f>
        <v>16.7</v>
      </c>
      <c r="I25" s="328">
        <f t="shared" si="1"/>
        <v>50.05</v>
      </c>
      <c r="J25" s="329">
        <f t="shared" si="2"/>
        <v>64.3</v>
      </c>
    </row>
    <row r="26" spans="1:10">
      <c r="A26" s="322" t="s">
        <v>485</v>
      </c>
      <c r="B26" s="593" t="s">
        <v>486</v>
      </c>
      <c r="C26" s="594"/>
      <c r="D26" s="594"/>
      <c r="E26" s="594"/>
      <c r="F26" s="594"/>
      <c r="G26" s="594"/>
      <c r="H26" s="594"/>
      <c r="I26" s="323">
        <f>ROUND(SUM(I27:I31),2)</f>
        <v>87902.15</v>
      </c>
      <c r="J26" s="324">
        <f>ROUND(SUM(J27:J31),2)</f>
        <v>113613.25</v>
      </c>
    </row>
    <row r="27" spans="1:10" ht="52.8">
      <c r="A27" s="325" t="s">
        <v>487</v>
      </c>
      <c r="B27" s="376" t="s">
        <v>557</v>
      </c>
      <c r="C27" s="327" t="s">
        <v>475</v>
      </c>
      <c r="D27" s="326" t="s">
        <v>454</v>
      </c>
      <c r="E27" s="326" t="s">
        <v>457</v>
      </c>
      <c r="F27" s="328">
        <f>'MEMORIA DE CÁLCULO'!I131</f>
        <v>218.12</v>
      </c>
      <c r="G27" s="328">
        <v>51.76</v>
      </c>
      <c r="H27" s="328">
        <f t="shared" si="0"/>
        <v>66.900000000000006</v>
      </c>
      <c r="I27" s="328">
        <f t="shared" si="1"/>
        <v>11289.89</v>
      </c>
      <c r="J27" s="329">
        <f t="shared" si="2"/>
        <v>14592.23</v>
      </c>
    </row>
    <row r="28" spans="1:10" ht="26.4">
      <c r="A28" s="325" t="s">
        <v>488</v>
      </c>
      <c r="B28" s="376" t="s">
        <v>558</v>
      </c>
      <c r="C28" s="327" t="s">
        <v>477</v>
      </c>
      <c r="D28" s="326" t="s">
        <v>454</v>
      </c>
      <c r="E28" s="326" t="s">
        <v>478</v>
      </c>
      <c r="F28" s="328">
        <f>'MEMORIA DE CÁLCULO'!I139</f>
        <v>3604.6</v>
      </c>
      <c r="G28" s="328">
        <v>11.38</v>
      </c>
      <c r="H28" s="328">
        <f t="shared" si="0"/>
        <v>14.71</v>
      </c>
      <c r="I28" s="328">
        <f t="shared" si="1"/>
        <v>41020.35</v>
      </c>
      <c r="J28" s="329">
        <f t="shared" si="2"/>
        <v>53023.67</v>
      </c>
    </row>
    <row r="29" spans="1:10" ht="52.8">
      <c r="A29" s="325" t="s">
        <v>489</v>
      </c>
      <c r="B29" s="376" t="s">
        <v>561</v>
      </c>
      <c r="C29" s="327" t="s">
        <v>490</v>
      </c>
      <c r="D29" s="326" t="s">
        <v>454</v>
      </c>
      <c r="E29" s="326" t="s">
        <v>459</v>
      </c>
      <c r="F29" s="328">
        <f>'MEMORIA DE CÁLCULO'!I148</f>
        <v>30.3</v>
      </c>
      <c r="G29" s="328">
        <v>766.18</v>
      </c>
      <c r="H29" s="328">
        <f t="shared" si="0"/>
        <v>990.29</v>
      </c>
      <c r="I29" s="328">
        <f t="shared" si="1"/>
        <v>23215.25</v>
      </c>
      <c r="J29" s="329">
        <f t="shared" si="2"/>
        <v>30005.79</v>
      </c>
    </row>
    <row r="30" spans="1:10" ht="52.8">
      <c r="A30" s="325" t="s">
        <v>491</v>
      </c>
      <c r="B30" s="376" t="s">
        <v>562</v>
      </c>
      <c r="C30" s="327" t="s">
        <v>492</v>
      </c>
      <c r="D30" s="326" t="s">
        <v>454</v>
      </c>
      <c r="E30" s="326" t="s">
        <v>459</v>
      </c>
      <c r="F30" s="328">
        <f>'MEMORIA DE CÁLCULO'!I154</f>
        <v>15.88</v>
      </c>
      <c r="G30" s="328">
        <v>737.07</v>
      </c>
      <c r="H30" s="328">
        <f t="shared" si="0"/>
        <v>952.66</v>
      </c>
      <c r="I30" s="328">
        <f t="shared" si="1"/>
        <v>11704.67</v>
      </c>
      <c r="J30" s="329">
        <f t="shared" si="2"/>
        <v>15128.24</v>
      </c>
    </row>
    <row r="31" spans="1:10" ht="52.8">
      <c r="A31" s="325" t="s">
        <v>493</v>
      </c>
      <c r="B31" s="376" t="s">
        <v>600</v>
      </c>
      <c r="C31" s="348" t="s">
        <v>353</v>
      </c>
      <c r="D31" s="374" t="s">
        <v>599</v>
      </c>
      <c r="E31" s="326" t="s">
        <v>494</v>
      </c>
      <c r="F31" s="328">
        <f>'MEMORIA DE CÁLCULO'!I160</f>
        <v>4.7300000000000004</v>
      </c>
      <c r="G31" s="328">
        <v>142.07</v>
      </c>
      <c r="H31" s="328">
        <f>ROUND(G31*(1+$J$7),2)</f>
        <v>182.52</v>
      </c>
      <c r="I31" s="328">
        <f t="shared" si="1"/>
        <v>671.99</v>
      </c>
      <c r="J31" s="329">
        <f t="shared" si="2"/>
        <v>863.32</v>
      </c>
    </row>
    <row r="32" spans="1:10">
      <c r="A32" s="322" t="s">
        <v>495</v>
      </c>
      <c r="B32" s="593" t="s">
        <v>496</v>
      </c>
      <c r="C32" s="594"/>
      <c r="D32" s="594"/>
      <c r="E32" s="594"/>
      <c r="F32" s="594"/>
      <c r="G32" s="594"/>
      <c r="H32" s="594"/>
      <c r="I32" s="323">
        <f>ROUND(SUM(I33:I34),2)</f>
        <v>219638.1</v>
      </c>
      <c r="J32" s="324">
        <f>ROUND(SUM(J33:J34),2)</f>
        <v>283911.15000000002</v>
      </c>
    </row>
    <row r="33" spans="1:10" ht="79.2">
      <c r="A33" s="403" t="s">
        <v>266</v>
      </c>
      <c r="B33" s="376" t="s">
        <v>563</v>
      </c>
      <c r="C33" s="327" t="s">
        <v>497</v>
      </c>
      <c r="D33" s="326" t="s">
        <v>454</v>
      </c>
      <c r="E33" s="326" t="s">
        <v>478</v>
      </c>
      <c r="F33" s="328">
        <f>'MEMORIA DE CÁLCULO'!I170</f>
        <v>9247.92</v>
      </c>
      <c r="G33" s="328">
        <v>22.38</v>
      </c>
      <c r="H33" s="328">
        <f t="shared" si="0"/>
        <v>28.93</v>
      </c>
      <c r="I33" s="328">
        <f t="shared" ref="I33:I43" si="3">ROUND(F33*G33,2)</f>
        <v>206968.45</v>
      </c>
      <c r="J33" s="329">
        <f>ROUND(F33*H33,2)</f>
        <v>267542.33</v>
      </c>
    </row>
    <row r="34" spans="1:10" ht="92.4">
      <c r="A34" s="403" t="s">
        <v>50</v>
      </c>
      <c r="B34" s="376" t="s">
        <v>564</v>
      </c>
      <c r="C34" s="327" t="s">
        <v>498</v>
      </c>
      <c r="D34" s="326" t="s">
        <v>454</v>
      </c>
      <c r="E34" s="326" t="s">
        <v>478</v>
      </c>
      <c r="F34" s="328">
        <f>'MEMORIA DE CÁLCULO'!I178</f>
        <v>9247.92</v>
      </c>
      <c r="G34" s="328">
        <v>1.37</v>
      </c>
      <c r="H34" s="328">
        <f t="shared" si="0"/>
        <v>1.77</v>
      </c>
      <c r="I34" s="328">
        <f t="shared" si="3"/>
        <v>12669.65</v>
      </c>
      <c r="J34" s="329">
        <f>ROUND(F34*H34,2)</f>
        <v>16368.82</v>
      </c>
    </row>
    <row r="35" spans="1:10">
      <c r="A35" s="322" t="s">
        <v>499</v>
      </c>
      <c r="B35" s="593" t="s">
        <v>500</v>
      </c>
      <c r="C35" s="594"/>
      <c r="D35" s="594"/>
      <c r="E35" s="594"/>
      <c r="F35" s="594"/>
      <c r="G35" s="594"/>
      <c r="H35" s="594"/>
      <c r="I35" s="323">
        <f>ROUND(SUM(I36:I41),2)</f>
        <v>1501.46</v>
      </c>
      <c r="J35" s="324">
        <f>ROUND(SUM(J36:J41),2)</f>
        <v>1937.62</v>
      </c>
    </row>
    <row r="36" spans="1:10">
      <c r="A36" s="325" t="s">
        <v>501</v>
      </c>
      <c r="B36" s="377" t="str">
        <f>COMPOSIÇÕES!E3</f>
        <v>CPU.1</v>
      </c>
      <c r="C36" s="370" t="str">
        <f>COMPOSIÇÕES!B3</f>
        <v>IMPRIMAÇÃO COM ASFALTO DILUÍDO CM-30</v>
      </c>
      <c r="D36" s="326" t="s">
        <v>454</v>
      </c>
      <c r="E36" s="326" t="s">
        <v>502</v>
      </c>
      <c r="F36" s="328">
        <f>'MEMORIA DE CÁLCULO'!H188</f>
        <v>24</v>
      </c>
      <c r="G36" s="328">
        <f>COMPOSIÇÕES!G15</f>
        <v>7.4499999999999984</v>
      </c>
      <c r="H36" s="328">
        <f>ROUND(G36*(1+$J$7),2)</f>
        <v>9.57</v>
      </c>
      <c r="I36" s="328">
        <f t="shared" si="3"/>
        <v>178.8</v>
      </c>
      <c r="J36" s="329">
        <f t="shared" ref="J36:J41" si="4">ROUND(F36*H36,2)</f>
        <v>229.68</v>
      </c>
    </row>
    <row r="37" spans="1:10" ht="39.6">
      <c r="A37" s="325" t="s">
        <v>503</v>
      </c>
      <c r="B37" s="376" t="s">
        <v>565</v>
      </c>
      <c r="C37" s="348" t="s">
        <v>568</v>
      </c>
      <c r="D37" s="326" t="s">
        <v>454</v>
      </c>
      <c r="E37" s="326" t="s">
        <v>505</v>
      </c>
      <c r="F37" s="328">
        <f>'MEMORIA DE CÁLCULO'!J196</f>
        <v>14.77</v>
      </c>
      <c r="G37" s="328">
        <v>0.77</v>
      </c>
      <c r="H37" s="328">
        <f>ROUND(G37*(1+$J$7),2)</f>
        <v>0.99</v>
      </c>
      <c r="I37" s="328">
        <f t="shared" si="3"/>
        <v>11.37</v>
      </c>
      <c r="J37" s="329">
        <f t="shared" si="4"/>
        <v>14.62</v>
      </c>
    </row>
    <row r="38" spans="1:10" ht="52.8">
      <c r="A38" s="325" t="s">
        <v>506</v>
      </c>
      <c r="B38" s="376" t="s">
        <v>566</v>
      </c>
      <c r="C38" s="327" t="s">
        <v>507</v>
      </c>
      <c r="D38" s="326" t="s">
        <v>454</v>
      </c>
      <c r="E38" s="326" t="s">
        <v>502</v>
      </c>
      <c r="F38" s="328">
        <f>'MEMORIA DE CÁLCULO'!I204</f>
        <v>24</v>
      </c>
      <c r="G38" s="328">
        <v>1.87</v>
      </c>
      <c r="H38" s="328">
        <f>ROUND(G38*(1+$J$7),2)</f>
        <v>2.4</v>
      </c>
      <c r="I38" s="328">
        <f t="shared" si="3"/>
        <v>44.88</v>
      </c>
      <c r="J38" s="329">
        <f t="shared" si="4"/>
        <v>57.6</v>
      </c>
    </row>
    <row r="39" spans="1:10" ht="39.6">
      <c r="A39" s="325" t="s">
        <v>508</v>
      </c>
      <c r="B39" s="376" t="s">
        <v>565</v>
      </c>
      <c r="C39" s="327" t="s">
        <v>504</v>
      </c>
      <c r="D39" s="326" t="s">
        <v>454</v>
      </c>
      <c r="E39" s="326" t="s">
        <v>505</v>
      </c>
      <c r="F39" s="328">
        <f>'MEMORIA DE CÁLCULO'!J212</f>
        <v>6.16</v>
      </c>
      <c r="G39" s="328">
        <v>0.77</v>
      </c>
      <c r="H39" s="328">
        <f>ROUND(G39*(1+$J$7),2)</f>
        <v>0.99</v>
      </c>
      <c r="I39" s="328">
        <f t="shared" si="3"/>
        <v>4.74</v>
      </c>
      <c r="J39" s="329">
        <f t="shared" si="4"/>
        <v>6.1</v>
      </c>
    </row>
    <row r="40" spans="1:10" ht="92.4">
      <c r="A40" s="325" t="s">
        <v>509</v>
      </c>
      <c r="B40" s="376" t="s">
        <v>567</v>
      </c>
      <c r="C40" s="327" t="s">
        <v>510</v>
      </c>
      <c r="D40" s="326" t="s">
        <v>454</v>
      </c>
      <c r="E40" s="326" t="s">
        <v>459</v>
      </c>
      <c r="F40" s="328">
        <f>'MEMORIA DE CÁLCULO'!J220</f>
        <v>0.72</v>
      </c>
      <c r="G40" s="328">
        <v>1530.55</v>
      </c>
      <c r="H40" s="328">
        <f t="shared" si="0"/>
        <v>1978.24</v>
      </c>
      <c r="I40" s="328">
        <f t="shared" si="3"/>
        <v>1102</v>
      </c>
      <c r="J40" s="329">
        <f t="shared" si="4"/>
        <v>1424.33</v>
      </c>
    </row>
    <row r="41" spans="1:10" ht="39.6">
      <c r="A41" s="325" t="s">
        <v>511</v>
      </c>
      <c r="B41" s="376" t="s">
        <v>565</v>
      </c>
      <c r="C41" s="327" t="s">
        <v>504</v>
      </c>
      <c r="D41" s="326" t="s">
        <v>454</v>
      </c>
      <c r="E41" s="326" t="s">
        <v>505</v>
      </c>
      <c r="F41" s="328">
        <f>'MEMORIA DE CÁLCULO'!J227</f>
        <v>207.36</v>
      </c>
      <c r="G41" s="328">
        <v>0.77</v>
      </c>
      <c r="H41" s="328">
        <f>ROUND(G41*(1+$J$7),2)</f>
        <v>0.99</v>
      </c>
      <c r="I41" s="328">
        <f t="shared" si="3"/>
        <v>159.66999999999999</v>
      </c>
      <c r="J41" s="329">
        <f t="shared" si="4"/>
        <v>205.29</v>
      </c>
    </row>
    <row r="42" spans="1:10">
      <c r="A42" s="322" t="s">
        <v>512</v>
      </c>
      <c r="B42" s="593" t="s">
        <v>513</v>
      </c>
      <c r="C42" s="594"/>
      <c r="D42" s="594"/>
      <c r="E42" s="594"/>
      <c r="F42" s="594"/>
      <c r="G42" s="594"/>
      <c r="H42" s="594"/>
      <c r="I42" s="323">
        <f>ROUND(SUM(I43),2)</f>
        <v>16444.240000000002</v>
      </c>
      <c r="J42" s="324">
        <f>ROUND(SUM(J43),2)</f>
        <v>21254.28</v>
      </c>
    </row>
    <row r="43" spans="1:10" ht="118.8">
      <c r="A43" s="325" t="s">
        <v>514</v>
      </c>
      <c r="B43" s="376" t="s">
        <v>569</v>
      </c>
      <c r="C43" s="348" t="s">
        <v>570</v>
      </c>
      <c r="D43" s="326" t="s">
        <v>454</v>
      </c>
      <c r="E43" s="326" t="s">
        <v>469</v>
      </c>
      <c r="F43" s="328">
        <f>'MEMORIA DE CÁLCULO'!I236</f>
        <v>25.3</v>
      </c>
      <c r="G43" s="328">
        <v>649.97</v>
      </c>
      <c r="H43" s="328">
        <f t="shared" si="0"/>
        <v>840.09</v>
      </c>
      <c r="I43" s="328">
        <f t="shared" si="3"/>
        <v>16444.240000000002</v>
      </c>
      <c r="J43" s="329">
        <f>ROUND(F43*H43,2)</f>
        <v>21254.28</v>
      </c>
    </row>
    <row r="44" spans="1:10">
      <c r="A44" s="319"/>
      <c r="B44" s="378"/>
      <c r="C44" s="320"/>
      <c r="D44" s="320"/>
      <c r="E44" s="320"/>
      <c r="F44" s="320"/>
      <c r="G44" s="320"/>
      <c r="H44" s="619" t="s">
        <v>515</v>
      </c>
      <c r="I44" s="620"/>
      <c r="J44" s="324">
        <f>J46-J45</f>
        <v>111400.08000000002</v>
      </c>
    </row>
    <row r="45" spans="1:10">
      <c r="A45" s="319"/>
      <c r="B45" s="378"/>
      <c r="C45" s="320"/>
      <c r="D45" s="320"/>
      <c r="E45" s="320"/>
      <c r="F45" s="320"/>
      <c r="G45" s="320"/>
      <c r="H45" s="619" t="s">
        <v>516</v>
      </c>
      <c r="I45" s="620"/>
      <c r="J45" s="324">
        <f>SUM(I42+I35+I32+I26+I16+I10)</f>
        <v>380760.31</v>
      </c>
    </row>
    <row r="46" spans="1:10">
      <c r="A46" s="319"/>
      <c r="B46" s="378"/>
      <c r="C46" s="320"/>
      <c r="D46" s="320"/>
      <c r="E46" s="320"/>
      <c r="F46" s="320"/>
      <c r="G46" s="320"/>
      <c r="H46" s="619" t="s">
        <v>517</v>
      </c>
      <c r="I46" s="620"/>
      <c r="J46" s="330">
        <f>SUM(J42+J35+J32+J26+J16+J10)</f>
        <v>492160.39</v>
      </c>
    </row>
    <row r="47" spans="1:10">
      <c r="A47" s="274"/>
      <c r="B47" s="375"/>
      <c r="C47" s="273"/>
      <c r="D47" s="273"/>
      <c r="E47" s="273"/>
      <c r="F47" s="273"/>
      <c r="G47" s="273"/>
      <c r="H47" s="273"/>
      <c r="I47" s="273"/>
      <c r="J47" s="245"/>
    </row>
    <row r="48" spans="1:10">
      <c r="A48" s="274"/>
      <c r="B48" s="375"/>
      <c r="C48" s="273"/>
      <c r="D48" s="273"/>
      <c r="E48" s="273"/>
      <c r="F48" s="273"/>
      <c r="G48" s="273"/>
      <c r="H48" s="273"/>
      <c r="I48" s="273"/>
      <c r="J48" s="245"/>
    </row>
    <row r="49" spans="1:10">
      <c r="A49" s="274"/>
      <c r="B49" s="375"/>
      <c r="C49" s="273"/>
      <c r="D49" s="273"/>
      <c r="E49" s="273"/>
      <c r="F49" s="273"/>
      <c r="G49" s="273"/>
      <c r="H49" s="273"/>
      <c r="I49" s="273"/>
      <c r="J49" s="245"/>
    </row>
    <row r="50" spans="1:10">
      <c r="A50" s="274"/>
      <c r="B50" s="375"/>
      <c r="C50" s="273"/>
      <c r="D50" s="273"/>
      <c r="E50" s="273"/>
      <c r="F50" s="273"/>
      <c r="G50" s="273"/>
      <c r="H50" s="273"/>
      <c r="I50" s="273"/>
      <c r="J50" s="245"/>
    </row>
    <row r="51" spans="1:10">
      <c r="A51" s="274"/>
      <c r="B51" s="375"/>
      <c r="C51" s="273"/>
      <c r="D51" s="273"/>
      <c r="E51" s="273"/>
      <c r="F51" s="273"/>
      <c r="G51" s="273"/>
      <c r="H51" s="273"/>
      <c r="I51" s="273"/>
      <c r="J51" s="245"/>
    </row>
    <row r="52" spans="1:10">
      <c r="A52" s="274"/>
      <c r="B52" s="375"/>
      <c r="C52" s="273"/>
      <c r="D52" s="273"/>
      <c r="E52" s="273"/>
      <c r="F52" s="273"/>
      <c r="G52" s="273"/>
      <c r="H52" s="273"/>
      <c r="I52" s="273"/>
      <c r="J52" s="245"/>
    </row>
    <row r="53" spans="1:10">
      <c r="A53" s="274"/>
      <c r="B53" s="375"/>
      <c r="C53" s="273"/>
      <c r="D53" s="273"/>
      <c r="E53" s="273"/>
      <c r="F53" s="273"/>
      <c r="G53" s="273"/>
      <c r="H53" s="273"/>
      <c r="I53" s="273"/>
      <c r="J53" s="245"/>
    </row>
    <row r="54" spans="1:10">
      <c r="A54" s="274"/>
      <c r="B54" s="618" t="s">
        <v>542</v>
      </c>
      <c r="C54" s="618"/>
      <c r="D54" s="618"/>
      <c r="E54" s="273"/>
      <c r="F54" s="618" t="s">
        <v>518</v>
      </c>
      <c r="G54" s="618"/>
      <c r="H54" s="618"/>
      <c r="I54" s="618"/>
      <c r="J54" s="245"/>
    </row>
    <row r="55" spans="1:10">
      <c r="A55" s="274"/>
      <c r="B55" s="614" t="s">
        <v>543</v>
      </c>
      <c r="C55" s="614"/>
      <c r="D55" s="614"/>
      <c r="E55" s="273"/>
      <c r="F55" s="273"/>
      <c r="G55" s="273"/>
      <c r="H55" s="273"/>
      <c r="I55" s="273"/>
      <c r="J55" s="245"/>
    </row>
    <row r="56" spans="1:10">
      <c r="A56" s="274"/>
      <c r="B56" s="375"/>
      <c r="C56" s="273"/>
      <c r="D56" s="273"/>
      <c r="E56" s="273"/>
      <c r="F56" s="273"/>
      <c r="G56" s="273"/>
      <c r="H56" s="273"/>
      <c r="I56" s="273"/>
      <c r="J56" s="245"/>
    </row>
    <row r="57" spans="1:10">
      <c r="A57" s="274"/>
      <c r="B57" s="375"/>
      <c r="C57" s="273"/>
      <c r="D57" s="273"/>
      <c r="E57" s="273"/>
      <c r="F57" s="273"/>
      <c r="G57" s="273"/>
      <c r="H57" s="273"/>
      <c r="I57" s="273"/>
      <c r="J57" s="245"/>
    </row>
    <row r="58" spans="1:10">
      <c r="A58" s="274"/>
      <c r="B58" s="375"/>
      <c r="C58" s="273"/>
      <c r="D58" s="273"/>
      <c r="E58" s="273"/>
      <c r="F58" s="273"/>
      <c r="G58" s="273"/>
      <c r="H58" s="273"/>
      <c r="I58" s="273"/>
      <c r="J58" s="245"/>
    </row>
    <row r="59" spans="1:10">
      <c r="A59" s="274"/>
      <c r="B59" s="375"/>
      <c r="C59" s="273"/>
      <c r="D59" s="273"/>
      <c r="E59" s="273"/>
      <c r="F59" s="273"/>
      <c r="G59" s="273"/>
      <c r="H59" s="273"/>
      <c r="I59" s="273"/>
      <c r="J59" s="245"/>
    </row>
    <row r="60" spans="1:10" ht="13.8" thickBot="1">
      <c r="A60" s="276"/>
      <c r="B60" s="379"/>
      <c r="C60" s="275"/>
      <c r="D60" s="275"/>
      <c r="E60" s="275"/>
      <c r="F60" s="275"/>
      <c r="G60" s="275"/>
      <c r="H60" s="275"/>
      <c r="I60" s="275"/>
      <c r="J60" s="277"/>
    </row>
  </sheetData>
  <mergeCells count="29">
    <mergeCell ref="B55:D55"/>
    <mergeCell ref="F8:F9"/>
    <mergeCell ref="G8:H8"/>
    <mergeCell ref="I8:J8"/>
    <mergeCell ref="F54:I54"/>
    <mergeCell ref="B54:D54"/>
    <mergeCell ref="H44:I44"/>
    <mergeCell ref="H45:I45"/>
    <mergeCell ref="H46:I46"/>
    <mergeCell ref="B26:H26"/>
    <mergeCell ref="E8:E9"/>
    <mergeCell ref="A1:J1"/>
    <mergeCell ref="A2:J2"/>
    <mergeCell ref="A3:J3"/>
    <mergeCell ref="A4:J4"/>
    <mergeCell ref="B16:H16"/>
    <mergeCell ref="B10:H10"/>
    <mergeCell ref="H6:I6"/>
    <mergeCell ref="H7:I7"/>
    <mergeCell ref="I5:J5"/>
    <mergeCell ref="B32:H32"/>
    <mergeCell ref="B35:H35"/>
    <mergeCell ref="B42:H42"/>
    <mergeCell ref="A6:B6"/>
    <mergeCell ref="C6:G6"/>
    <mergeCell ref="A8:A9"/>
    <mergeCell ref="B8:B9"/>
    <mergeCell ref="C8:C9"/>
    <mergeCell ref="D8:D9"/>
  </mergeCells>
  <pageMargins left="0.511811024" right="0.511811024" top="0.78740157499999996" bottom="0.78740157499999996" header="0.31496062000000002" footer="0.31496062000000002"/>
  <pageSetup paperSize="9" fitToHeight="0" orientation="landscape" r:id="rId1"/>
  <rowBreaks count="1" manualBreakCount="1">
    <brk id="30" max="9" man="1"/>
  </rowBreaks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topLeftCell="A25" workbookViewId="0">
      <selection activeCell="N33" sqref="N33"/>
    </sheetView>
  </sheetViews>
  <sheetFormatPr defaultRowHeight="13.2"/>
  <cols>
    <col min="1" max="1" width="19.44140625" customWidth="1"/>
    <col min="2" max="2" width="7.6640625" customWidth="1"/>
    <col min="3" max="3" width="7.21875" customWidth="1"/>
    <col min="4" max="4" width="7.88671875" customWidth="1"/>
    <col min="5" max="5" width="7.5546875" customWidth="1"/>
    <col min="6" max="6" width="7.109375" customWidth="1"/>
    <col min="9" max="9" width="11.88671875" customWidth="1"/>
    <col min="10" max="10" width="6.5546875" customWidth="1"/>
  </cols>
  <sheetData>
    <row r="1" spans="1:10" ht="16.8">
      <c r="A1" s="651" t="s">
        <v>602</v>
      </c>
      <c r="B1" s="651"/>
      <c r="C1" s="651"/>
      <c r="D1" s="651"/>
      <c r="E1" s="651"/>
      <c r="F1" s="651"/>
      <c r="G1" s="651"/>
      <c r="H1" s="651"/>
      <c r="I1" s="651"/>
      <c r="J1" s="651"/>
    </row>
    <row r="3" spans="1:10" ht="20.25" customHeight="1">
      <c r="A3" s="652" t="s">
        <v>603</v>
      </c>
      <c r="B3" s="653"/>
      <c r="C3" s="653"/>
      <c r="D3" s="653"/>
      <c r="E3" s="653"/>
      <c r="F3" s="653"/>
      <c r="G3" s="653"/>
      <c r="H3" s="653"/>
      <c r="I3" s="653"/>
      <c r="J3" s="654"/>
    </row>
    <row r="4" spans="1:10">
      <c r="A4" s="663" t="s">
        <v>604</v>
      </c>
      <c r="B4" s="663" t="s">
        <v>605</v>
      </c>
      <c r="C4" s="663" t="s">
        <v>606</v>
      </c>
      <c r="D4" s="663"/>
      <c r="E4" s="663"/>
      <c r="F4" s="663"/>
      <c r="G4" s="663"/>
      <c r="H4" s="663"/>
      <c r="I4" s="663"/>
      <c r="J4" s="663" t="s">
        <v>607</v>
      </c>
    </row>
    <row r="5" spans="1:10">
      <c r="A5" s="663"/>
      <c r="B5" s="663"/>
      <c r="C5" s="664" t="s">
        <v>608</v>
      </c>
      <c r="D5" s="665"/>
      <c r="E5" s="665"/>
      <c r="F5" s="665"/>
      <c r="G5" s="665" t="s">
        <v>609</v>
      </c>
      <c r="H5" s="665"/>
      <c r="I5" s="666"/>
      <c r="J5" s="663"/>
    </row>
    <row r="6" spans="1:10" ht="21.6">
      <c r="A6" s="663"/>
      <c r="B6" s="663"/>
      <c r="C6" s="381">
        <v>0.02</v>
      </c>
      <c r="D6" s="381">
        <v>0.03</v>
      </c>
      <c r="E6" s="381">
        <v>0.04</v>
      </c>
      <c r="F6" s="381">
        <v>0.05</v>
      </c>
      <c r="G6" s="382" t="s">
        <v>610</v>
      </c>
      <c r="H6" s="664" t="s">
        <v>611</v>
      </c>
      <c r="I6" s="666"/>
      <c r="J6" s="663"/>
    </row>
    <row r="7" spans="1:10" ht="22.5" customHeight="1">
      <c r="A7" s="383" t="s">
        <v>612</v>
      </c>
      <c r="B7" s="384" t="s">
        <v>613</v>
      </c>
      <c r="C7" s="385">
        <v>1</v>
      </c>
      <c r="D7" s="385">
        <v>1</v>
      </c>
      <c r="E7" s="385">
        <v>1</v>
      </c>
      <c r="F7" s="385">
        <v>1</v>
      </c>
      <c r="G7" s="385">
        <v>1</v>
      </c>
      <c r="H7" s="667">
        <v>1</v>
      </c>
      <c r="I7" s="668"/>
      <c r="J7" s="386"/>
    </row>
    <row r="8" spans="1:10" ht="22.5" customHeight="1">
      <c r="A8" s="383" t="s">
        <v>614</v>
      </c>
      <c r="B8" s="384" t="s">
        <v>615</v>
      </c>
      <c r="C8" s="387">
        <v>5.5E-2</v>
      </c>
      <c r="D8" s="387">
        <v>5.5E-2</v>
      </c>
      <c r="E8" s="387">
        <v>5.5E-2</v>
      </c>
      <c r="F8" s="387">
        <v>5.5E-2</v>
      </c>
      <c r="G8" s="387">
        <v>3.4199999999999994E-2</v>
      </c>
      <c r="H8" s="669">
        <v>0.04</v>
      </c>
      <c r="I8" s="670"/>
      <c r="J8" s="386" t="s">
        <v>613</v>
      </c>
    </row>
    <row r="9" spans="1:10" ht="22.5" customHeight="1">
      <c r="A9" s="383" t="s">
        <v>616</v>
      </c>
      <c r="B9" s="384" t="s">
        <v>617</v>
      </c>
      <c r="C9" s="387">
        <v>7.4999999999999997E-2</v>
      </c>
      <c r="D9" s="387">
        <v>7.4999999999999997E-2</v>
      </c>
      <c r="E9" s="387">
        <v>7.4999999999999997E-2</v>
      </c>
      <c r="F9" s="387">
        <v>7.4999999999999997E-2</v>
      </c>
      <c r="G9" s="388">
        <v>4.9399999999999999E-2</v>
      </c>
      <c r="H9" s="671">
        <v>6.1600000000000002E-2</v>
      </c>
      <c r="I9" s="672"/>
      <c r="J9" s="386" t="s">
        <v>613</v>
      </c>
    </row>
    <row r="10" spans="1:10" ht="22.5" customHeight="1">
      <c r="A10" s="383" t="s">
        <v>618</v>
      </c>
      <c r="B10" s="384" t="s">
        <v>619</v>
      </c>
      <c r="C10" s="387">
        <v>7.9629999999999996E-3</v>
      </c>
      <c r="D10" s="387">
        <v>7.9629999999999996E-3</v>
      </c>
      <c r="E10" s="387">
        <v>7.9629999999999996E-3</v>
      </c>
      <c r="F10" s="387">
        <v>7.9629999999999996E-3</v>
      </c>
      <c r="G10" s="387">
        <v>7.9629999999999996E-3</v>
      </c>
      <c r="H10" s="669">
        <v>7.9629999999999996E-3</v>
      </c>
      <c r="I10" s="670"/>
      <c r="J10" s="386" t="s">
        <v>613</v>
      </c>
    </row>
    <row r="11" spans="1:10" ht="22.5" customHeight="1">
      <c r="A11" s="383" t="s">
        <v>620</v>
      </c>
      <c r="B11" s="389"/>
      <c r="C11" s="390">
        <f>SUM(C12:C13)</f>
        <v>2.2699999999999998E-2</v>
      </c>
      <c r="D11" s="390">
        <f>SUM(D12:D13)</f>
        <v>2.2699999999999998E-2</v>
      </c>
      <c r="E11" s="390">
        <f>SUM(E12:E13)</f>
        <v>2.2699999999999998E-2</v>
      </c>
      <c r="F11" s="390">
        <f>SUM(F12:F13)</f>
        <v>2.2699999999999998E-2</v>
      </c>
      <c r="G11" s="390">
        <f>SUM(G12:G13)</f>
        <v>1.29E-2</v>
      </c>
      <c r="H11" s="673">
        <f>SUM(H12:I13)</f>
        <v>1.77E-2</v>
      </c>
      <c r="I11" s="674"/>
      <c r="J11" s="391" t="s">
        <v>613</v>
      </c>
    </row>
    <row r="12" spans="1:10" ht="22.5" customHeight="1">
      <c r="A12" s="383" t="s">
        <v>621</v>
      </c>
      <c r="B12" s="384" t="s">
        <v>622</v>
      </c>
      <c r="C12" s="387">
        <v>0.01</v>
      </c>
      <c r="D12" s="387">
        <v>0.01</v>
      </c>
      <c r="E12" s="387">
        <v>0.01</v>
      </c>
      <c r="F12" s="387">
        <v>0.01</v>
      </c>
      <c r="G12" s="387">
        <v>5.3E-3</v>
      </c>
      <c r="H12" s="669">
        <v>8.0000000000000002E-3</v>
      </c>
      <c r="I12" s="670"/>
      <c r="J12" s="386" t="s">
        <v>613</v>
      </c>
    </row>
    <row r="13" spans="1:10" ht="22.5" customHeight="1">
      <c r="A13" s="383" t="s">
        <v>623</v>
      </c>
      <c r="B13" s="384" t="s">
        <v>624</v>
      </c>
      <c r="C13" s="387">
        <v>1.2699999999999999E-2</v>
      </c>
      <c r="D13" s="387">
        <v>1.2699999999999999E-2</v>
      </c>
      <c r="E13" s="387">
        <v>1.2699999999999999E-2</v>
      </c>
      <c r="F13" s="387">
        <v>1.2699999999999999E-2</v>
      </c>
      <c r="G13" s="387">
        <v>7.6E-3</v>
      </c>
      <c r="H13" s="669">
        <v>9.7000000000000003E-3</v>
      </c>
      <c r="I13" s="670"/>
      <c r="J13" s="386" t="s">
        <v>613</v>
      </c>
    </row>
    <row r="14" spans="1:10" ht="22.5" customHeight="1">
      <c r="A14" s="383" t="s">
        <v>625</v>
      </c>
      <c r="B14" s="384" t="s">
        <v>626</v>
      </c>
      <c r="C14" s="390">
        <f>SUM(C15:C17)</f>
        <v>4.65E-2</v>
      </c>
      <c r="D14" s="390">
        <f>SUM(D15:D17)</f>
        <v>5.1499999999999997E-2</v>
      </c>
      <c r="E14" s="390">
        <f>SUM(E15:E17)</f>
        <v>5.6499999999999995E-2</v>
      </c>
      <c r="F14" s="390">
        <f>SUM(F15:F17)</f>
        <v>6.1499999999999999E-2</v>
      </c>
      <c r="G14" s="390">
        <f>SUM(G15:G17)</f>
        <v>3.6499999999999998E-2</v>
      </c>
      <c r="H14" s="673">
        <f>SUM(H15:I17)</f>
        <v>6.1499999999999999E-2</v>
      </c>
      <c r="I14" s="674"/>
      <c r="J14" s="391" t="s">
        <v>627</v>
      </c>
    </row>
    <row r="15" spans="1:10" ht="22.5" customHeight="1">
      <c r="A15" s="383" t="s">
        <v>628</v>
      </c>
      <c r="B15" s="389" t="s">
        <v>629</v>
      </c>
      <c r="C15" s="392">
        <v>0.01</v>
      </c>
      <c r="D15" s="392">
        <v>1.4999999999999999E-2</v>
      </c>
      <c r="E15" s="392">
        <v>0.02</v>
      </c>
      <c r="F15" s="392">
        <v>2.5000000000000001E-2</v>
      </c>
      <c r="G15" s="392" t="s">
        <v>630</v>
      </c>
      <c r="H15" s="675">
        <v>2.5000000000000001E-2</v>
      </c>
      <c r="I15" s="676"/>
      <c r="J15" s="386" t="s">
        <v>627</v>
      </c>
    </row>
    <row r="16" spans="1:10" ht="22.5" customHeight="1">
      <c r="A16" s="383" t="s">
        <v>631</v>
      </c>
      <c r="B16" s="389" t="s">
        <v>631</v>
      </c>
      <c r="C16" s="387">
        <v>6.4999999999999997E-3</v>
      </c>
      <c r="D16" s="387">
        <v>6.4999999999999997E-3</v>
      </c>
      <c r="E16" s="387">
        <v>6.4999999999999997E-3</v>
      </c>
      <c r="F16" s="387">
        <v>6.4999999999999997E-3</v>
      </c>
      <c r="G16" s="387">
        <v>6.4999999999999997E-3</v>
      </c>
      <c r="H16" s="669">
        <v>6.4999999999999997E-3</v>
      </c>
      <c r="I16" s="670"/>
      <c r="J16" s="386" t="s">
        <v>627</v>
      </c>
    </row>
    <row r="17" spans="1:10" ht="22.5" customHeight="1">
      <c r="A17" s="383" t="s">
        <v>632</v>
      </c>
      <c r="B17" s="389" t="s">
        <v>630</v>
      </c>
      <c r="C17" s="387">
        <v>0.03</v>
      </c>
      <c r="D17" s="387">
        <v>0.03</v>
      </c>
      <c r="E17" s="387">
        <v>0.03</v>
      </c>
      <c r="F17" s="387">
        <v>0.03</v>
      </c>
      <c r="G17" s="387">
        <v>0.03</v>
      </c>
      <c r="H17" s="669">
        <v>0.03</v>
      </c>
      <c r="I17" s="670"/>
      <c r="J17" s="386" t="s">
        <v>627</v>
      </c>
    </row>
    <row r="18" spans="1:10" ht="22.5" customHeight="1">
      <c r="A18" s="383" t="s">
        <v>633</v>
      </c>
      <c r="B18" s="389" t="s">
        <v>634</v>
      </c>
      <c r="C18" s="393">
        <v>4.4999999999999998E-2</v>
      </c>
      <c r="D18" s="393">
        <v>4.4999999999999998E-2</v>
      </c>
      <c r="E18" s="393">
        <v>4.4999999999999998E-2</v>
      </c>
      <c r="F18" s="393">
        <v>4.4999999999999998E-2</v>
      </c>
      <c r="G18" s="393">
        <v>4.4999999999999998E-2</v>
      </c>
      <c r="H18" s="677">
        <v>4.4999999999999998E-2</v>
      </c>
      <c r="I18" s="678"/>
      <c r="J18" s="386" t="s">
        <v>627</v>
      </c>
    </row>
    <row r="19" spans="1:10">
      <c r="A19" s="629"/>
      <c r="B19" s="630"/>
      <c r="C19" s="630"/>
      <c r="D19" s="630"/>
      <c r="E19" s="630"/>
      <c r="F19" s="630"/>
      <c r="G19" s="630"/>
      <c r="H19" s="630"/>
      <c r="I19" s="630"/>
      <c r="J19" s="631"/>
    </row>
    <row r="20" spans="1:10">
      <c r="A20" s="632" t="s">
        <v>635</v>
      </c>
      <c r="B20" s="633"/>
      <c r="C20" s="636" t="s">
        <v>636</v>
      </c>
      <c r="D20" s="637"/>
      <c r="E20" s="637"/>
      <c r="F20" s="637"/>
      <c r="G20" s="637"/>
      <c r="H20" s="637"/>
      <c r="I20" s="637"/>
      <c r="J20" s="638"/>
    </row>
    <row r="21" spans="1:10">
      <c r="A21" s="634"/>
      <c r="B21" s="635"/>
      <c r="C21" s="639" t="s">
        <v>637</v>
      </c>
      <c r="D21" s="640"/>
      <c r="E21" s="640"/>
      <c r="F21" s="640"/>
      <c r="G21" s="640"/>
      <c r="H21" s="640"/>
      <c r="I21" s="640"/>
      <c r="J21" s="641"/>
    </row>
    <row r="22" spans="1:10" ht="22.5" customHeight="1">
      <c r="A22" s="642" t="s">
        <v>638</v>
      </c>
      <c r="B22" s="643"/>
      <c r="C22" s="394">
        <f t="shared" ref="C22:H22" si="0">(1+(C8+C11))*(1+C10)*(1+C9)-1</f>
        <v>0.16775285448249999</v>
      </c>
      <c r="D22" s="394">
        <f t="shared" si="0"/>
        <v>0.16775285448249999</v>
      </c>
      <c r="E22" s="394">
        <f t="shared" si="0"/>
        <v>0.16775285448249999</v>
      </c>
      <c r="F22" s="394">
        <f t="shared" si="0"/>
        <v>0.16775285448249999</v>
      </c>
      <c r="G22" s="394">
        <f t="shared" si="0"/>
        <v>0.10757669733061981</v>
      </c>
      <c r="H22" s="679">
        <f t="shared" si="0"/>
        <v>0.13179560895016018</v>
      </c>
      <c r="I22" s="680"/>
      <c r="J22" s="644"/>
    </row>
    <row r="23" spans="1:10" ht="22.5" customHeight="1">
      <c r="A23" s="642" t="s">
        <v>639</v>
      </c>
      <c r="B23" s="643"/>
      <c r="C23" s="394">
        <f t="shared" ref="C23:H23" si="1">(1-(C14+C18))</f>
        <v>0.90849999999999997</v>
      </c>
      <c r="D23" s="394">
        <f t="shared" si="1"/>
        <v>0.90349999999999997</v>
      </c>
      <c r="E23" s="394">
        <f t="shared" si="1"/>
        <v>0.89849999999999997</v>
      </c>
      <c r="F23" s="394">
        <f t="shared" si="1"/>
        <v>0.89349999999999996</v>
      </c>
      <c r="G23" s="394">
        <f t="shared" si="1"/>
        <v>0.91849999999999998</v>
      </c>
      <c r="H23" s="679">
        <f t="shared" si="1"/>
        <v>0.89349999999999996</v>
      </c>
      <c r="I23" s="680"/>
      <c r="J23" s="645"/>
    </row>
    <row r="24" spans="1:10" ht="11.25" customHeight="1">
      <c r="A24" s="681" t="s">
        <v>640</v>
      </c>
      <c r="B24" s="682"/>
      <c r="C24" s="688">
        <f t="shared" ref="C24:H24" si="2">(1+C22)/C23-1</f>
        <v>0.28536362628783718</v>
      </c>
      <c r="D24" s="688">
        <f t="shared" si="2"/>
        <v>0.29247687269784173</v>
      </c>
      <c r="E24" s="688">
        <f t="shared" si="2"/>
        <v>0.29966928712576513</v>
      </c>
      <c r="F24" s="688">
        <f t="shared" si="2"/>
        <v>0.30694219863738104</v>
      </c>
      <c r="G24" s="688">
        <f t="shared" si="2"/>
        <v>0.20585378043616753</v>
      </c>
      <c r="H24" s="681">
        <f t="shared" si="2"/>
        <v>0.26669905870191402</v>
      </c>
      <c r="I24" s="682"/>
      <c r="J24" s="645"/>
    </row>
    <row r="25" spans="1:10" ht="11.25" customHeight="1">
      <c r="A25" s="683"/>
      <c r="B25" s="684"/>
      <c r="C25" s="689"/>
      <c r="D25" s="689"/>
      <c r="E25" s="689"/>
      <c r="F25" s="689"/>
      <c r="G25" s="689"/>
      <c r="H25" s="683"/>
      <c r="I25" s="684"/>
      <c r="J25" s="646"/>
    </row>
    <row r="26" spans="1:10">
      <c r="A26" s="626" t="s">
        <v>641</v>
      </c>
      <c r="B26" s="627"/>
      <c r="C26" s="627"/>
      <c r="D26" s="627"/>
      <c r="E26" s="627"/>
      <c r="F26" s="627"/>
      <c r="G26" s="627"/>
      <c r="H26" s="627"/>
      <c r="I26" s="627"/>
      <c r="J26" s="628"/>
    </row>
    <row r="27" spans="1:10" ht="97.5" customHeight="1">
      <c r="A27" s="685" t="s">
        <v>642</v>
      </c>
      <c r="B27" s="686"/>
      <c r="C27" s="686"/>
      <c r="D27" s="686"/>
      <c r="E27" s="686"/>
      <c r="F27" s="686"/>
      <c r="G27" s="686"/>
      <c r="H27" s="686"/>
      <c r="I27" s="686"/>
      <c r="J27" s="687"/>
    </row>
    <row r="28" spans="1:10" ht="15" customHeight="1">
      <c r="A28" s="624" t="s">
        <v>643</v>
      </c>
      <c r="B28" s="624"/>
      <c r="C28" s="624"/>
      <c r="D28" s="624"/>
      <c r="E28" s="624"/>
      <c r="F28" s="624"/>
      <c r="G28" s="624"/>
      <c r="H28" s="624"/>
      <c r="I28" s="624"/>
      <c r="J28" s="624"/>
    </row>
    <row r="29" spans="1:10" ht="15" customHeight="1">
      <c r="A29" s="624"/>
      <c r="B29" s="624"/>
      <c r="C29" s="624"/>
      <c r="D29" s="624"/>
      <c r="E29" s="624"/>
      <c r="F29" s="624"/>
      <c r="G29" s="624"/>
      <c r="H29" s="624"/>
      <c r="I29" s="624"/>
      <c r="J29" s="624"/>
    </row>
    <row r="30" spans="1:10">
      <c r="A30" s="624"/>
      <c r="B30" s="624"/>
      <c r="C30" s="624"/>
      <c r="D30" s="624"/>
      <c r="E30" s="624"/>
      <c r="F30" s="624"/>
      <c r="G30" s="624"/>
      <c r="H30" s="624"/>
      <c r="I30" s="624"/>
      <c r="J30" s="624"/>
    </row>
    <row r="31" spans="1:10">
      <c r="A31" s="624"/>
      <c r="B31" s="624"/>
      <c r="C31" s="624"/>
      <c r="D31" s="624"/>
      <c r="E31" s="624"/>
      <c r="F31" s="624"/>
      <c r="G31" s="624"/>
      <c r="H31" s="624"/>
      <c r="I31" s="624"/>
      <c r="J31" s="624"/>
    </row>
    <row r="32" spans="1:10">
      <c r="A32" s="624"/>
      <c r="B32" s="624"/>
      <c r="C32" s="624"/>
      <c r="D32" s="624"/>
      <c r="E32" s="624"/>
      <c r="F32" s="624"/>
      <c r="G32" s="624"/>
      <c r="H32" s="624"/>
      <c r="I32" s="624"/>
      <c r="J32" s="624"/>
    </row>
    <row r="33" spans="1:10" ht="108" customHeight="1"/>
    <row r="34" spans="1:10" ht="16.8">
      <c r="A34" s="651" t="s">
        <v>648</v>
      </c>
      <c r="B34" s="651"/>
      <c r="C34" s="651"/>
      <c r="D34" s="651"/>
      <c r="E34" s="651"/>
      <c r="F34" s="651"/>
      <c r="G34" s="651"/>
      <c r="H34" s="651"/>
      <c r="I34" s="651"/>
      <c r="J34" s="651"/>
    </row>
    <row r="35" spans="1:10" ht="19.2" customHeight="1"/>
    <row r="36" spans="1:10" ht="15" customHeight="1">
      <c r="A36" s="652" t="s">
        <v>603</v>
      </c>
      <c r="B36" s="653"/>
      <c r="C36" s="653"/>
      <c r="D36" s="653"/>
      <c r="E36" s="653"/>
      <c r="F36" s="653"/>
      <c r="G36" s="653"/>
      <c r="H36" s="653"/>
      <c r="I36" s="653"/>
      <c r="J36" s="654"/>
    </row>
    <row r="37" spans="1:10">
      <c r="A37" s="655" t="s">
        <v>604</v>
      </c>
      <c r="B37" s="655" t="s">
        <v>649</v>
      </c>
      <c r="C37" s="656" t="s">
        <v>650</v>
      </c>
      <c r="D37" s="656"/>
      <c r="E37" s="656"/>
      <c r="F37" s="656"/>
      <c r="G37" s="656"/>
      <c r="H37" s="656"/>
      <c r="I37" s="656"/>
      <c r="J37" s="657" t="s">
        <v>651</v>
      </c>
    </row>
    <row r="38" spans="1:10">
      <c r="A38" s="655"/>
      <c r="B38" s="656"/>
      <c r="C38" s="660" t="s">
        <v>652</v>
      </c>
      <c r="D38" s="661"/>
      <c r="E38" s="661"/>
      <c r="F38" s="662"/>
      <c r="G38" s="660" t="s">
        <v>609</v>
      </c>
      <c r="H38" s="661"/>
      <c r="I38" s="662"/>
      <c r="J38" s="658"/>
    </row>
    <row r="39" spans="1:10" ht="52.2">
      <c r="A39" s="655"/>
      <c r="B39" s="656"/>
      <c r="C39" s="395">
        <v>0.02</v>
      </c>
      <c r="D39" s="395">
        <v>0.03</v>
      </c>
      <c r="E39" s="395">
        <v>0.04</v>
      </c>
      <c r="F39" s="395">
        <v>0.05</v>
      </c>
      <c r="G39" s="396" t="s">
        <v>653</v>
      </c>
      <c r="H39" s="396" t="s">
        <v>654</v>
      </c>
      <c r="I39" s="396" t="s">
        <v>655</v>
      </c>
      <c r="J39" s="659"/>
    </row>
    <row r="40" spans="1:10" ht="22.5" customHeight="1">
      <c r="A40" s="383" t="s">
        <v>612</v>
      </c>
      <c r="B40" s="384" t="s">
        <v>613</v>
      </c>
      <c r="C40" s="385">
        <v>1</v>
      </c>
      <c r="D40" s="385">
        <v>1</v>
      </c>
      <c r="E40" s="385">
        <v>1</v>
      </c>
      <c r="F40" s="385">
        <v>1</v>
      </c>
      <c r="G40" s="385">
        <v>1</v>
      </c>
      <c r="H40" s="385">
        <v>1</v>
      </c>
      <c r="I40" s="385">
        <v>1</v>
      </c>
      <c r="J40" s="386"/>
    </row>
    <row r="41" spans="1:10" ht="22.5" customHeight="1">
      <c r="A41" s="383" t="s">
        <v>614</v>
      </c>
      <c r="B41" s="384" t="s">
        <v>615</v>
      </c>
      <c r="C41" s="387">
        <v>4.6699999999999998E-2</v>
      </c>
      <c r="D41" s="387">
        <v>4.6699999999999998E-2</v>
      </c>
      <c r="E41" s="387">
        <v>4.6699999999999998E-2</v>
      </c>
      <c r="F41" s="387">
        <v>4.6699999999999998E-2</v>
      </c>
      <c r="G41" s="387">
        <v>3.4200000000000001E-2</v>
      </c>
      <c r="H41" s="387">
        <v>4.0099999999999997E-2</v>
      </c>
      <c r="I41" s="387">
        <v>3.4200000000000001E-2</v>
      </c>
      <c r="J41" s="386" t="s">
        <v>613</v>
      </c>
    </row>
    <row r="42" spans="1:10" ht="22.5" customHeight="1">
      <c r="A42" s="383" t="s">
        <v>616</v>
      </c>
      <c r="B42" s="384" t="s">
        <v>617</v>
      </c>
      <c r="C42" s="387">
        <v>7.5299999999999992E-2</v>
      </c>
      <c r="D42" s="387">
        <v>7.5299999999999992E-2</v>
      </c>
      <c r="E42" s="387">
        <v>7.5299999999999992E-2</v>
      </c>
      <c r="F42" s="387">
        <v>7.5299999999999992E-2</v>
      </c>
      <c r="G42" s="388">
        <v>4.9399999999999999E-2</v>
      </c>
      <c r="H42" s="387">
        <v>6.6400000000000001E-2</v>
      </c>
      <c r="I42" s="388">
        <v>4.9399999999999999E-2</v>
      </c>
      <c r="J42" s="386" t="s">
        <v>613</v>
      </c>
    </row>
    <row r="43" spans="1:10" ht="22.5" customHeight="1">
      <c r="A43" s="383" t="s">
        <v>618</v>
      </c>
      <c r="B43" s="384" t="s">
        <v>619</v>
      </c>
      <c r="C43" s="387">
        <v>7.9629999999999996E-3</v>
      </c>
      <c r="D43" s="387">
        <v>7.9629999999999996E-3</v>
      </c>
      <c r="E43" s="387">
        <v>7.9629999999999996E-3</v>
      </c>
      <c r="F43" s="387">
        <v>7.9629999999999996E-3</v>
      </c>
      <c r="G43" s="387">
        <v>7.9629999999999996E-3</v>
      </c>
      <c r="H43" s="387">
        <v>7.9629999999999996E-3</v>
      </c>
      <c r="I43" s="387">
        <v>7.9629999999999996E-3</v>
      </c>
      <c r="J43" s="386" t="s">
        <v>613</v>
      </c>
    </row>
    <row r="44" spans="1:10" ht="22.5" customHeight="1">
      <c r="A44" s="383" t="s">
        <v>620</v>
      </c>
      <c r="B44" s="389"/>
      <c r="C44" s="390">
        <f>SUM(C45:C46)</f>
        <v>1.7100000000000001E-2</v>
      </c>
      <c r="D44" s="390">
        <f t="shared" ref="D44:I44" si="3">SUM(D45:D46)</f>
        <v>1.7100000000000001E-2</v>
      </c>
      <c r="E44" s="390">
        <f t="shared" si="3"/>
        <v>1.7100000000000001E-2</v>
      </c>
      <c r="F44" s="390">
        <f t="shared" si="3"/>
        <v>1.7100000000000001E-2</v>
      </c>
      <c r="G44" s="390">
        <f t="shared" si="3"/>
        <v>1.29E-2</v>
      </c>
      <c r="H44" s="390">
        <f t="shared" si="3"/>
        <v>8.2000000000000007E-3</v>
      </c>
      <c r="I44" s="390">
        <f t="shared" si="3"/>
        <v>1.29E-2</v>
      </c>
      <c r="J44" s="391" t="s">
        <v>613</v>
      </c>
    </row>
    <row r="45" spans="1:10" ht="22.5" customHeight="1">
      <c r="A45" s="383" t="s">
        <v>621</v>
      </c>
      <c r="B45" s="384" t="s">
        <v>622</v>
      </c>
      <c r="C45" s="387">
        <v>7.4000000000000003E-3</v>
      </c>
      <c r="D45" s="387">
        <v>7.4000000000000003E-3</v>
      </c>
      <c r="E45" s="387">
        <v>7.4000000000000003E-3</v>
      </c>
      <c r="F45" s="387">
        <v>7.4000000000000003E-3</v>
      </c>
      <c r="G45" s="387">
        <v>5.3E-3</v>
      </c>
      <c r="H45" s="387">
        <v>3.2000000000000002E-3</v>
      </c>
      <c r="I45" s="387">
        <v>5.3E-3</v>
      </c>
      <c r="J45" s="386" t="s">
        <v>613</v>
      </c>
    </row>
    <row r="46" spans="1:10" ht="22.5" customHeight="1">
      <c r="A46" s="383" t="s">
        <v>623</v>
      </c>
      <c r="B46" s="384" t="s">
        <v>624</v>
      </c>
      <c r="C46" s="387">
        <v>9.7000000000000003E-3</v>
      </c>
      <c r="D46" s="387">
        <v>9.7000000000000003E-3</v>
      </c>
      <c r="E46" s="387">
        <v>9.7000000000000003E-3</v>
      </c>
      <c r="F46" s="387">
        <v>9.7000000000000003E-3</v>
      </c>
      <c r="G46" s="387">
        <v>7.6E-3</v>
      </c>
      <c r="H46" s="387">
        <v>5.0000000000000001E-3</v>
      </c>
      <c r="I46" s="387">
        <v>7.6E-3</v>
      </c>
      <c r="J46" s="386" t="s">
        <v>613</v>
      </c>
    </row>
    <row r="47" spans="1:10" ht="22.5" customHeight="1">
      <c r="A47" s="383" t="s">
        <v>625</v>
      </c>
      <c r="B47" s="384" t="s">
        <v>626</v>
      </c>
      <c r="C47" s="390">
        <f t="shared" ref="C47:I47" si="4">SUM(C48:C50)</f>
        <v>5.0499999999999996E-2</v>
      </c>
      <c r="D47" s="390">
        <f t="shared" si="4"/>
        <v>5.7499999999999996E-2</v>
      </c>
      <c r="E47" s="390">
        <f t="shared" si="4"/>
        <v>6.4500000000000002E-2</v>
      </c>
      <c r="F47" s="390">
        <f t="shared" si="4"/>
        <v>7.1499999999999994E-2</v>
      </c>
      <c r="G47" s="390">
        <f t="shared" si="4"/>
        <v>3.6499999999999998E-2</v>
      </c>
      <c r="H47" s="390">
        <f t="shared" si="4"/>
        <v>6.1499999999999999E-2</v>
      </c>
      <c r="I47" s="390">
        <f t="shared" si="4"/>
        <v>6.1499999999999999E-2</v>
      </c>
      <c r="J47" s="391" t="s">
        <v>627</v>
      </c>
    </row>
    <row r="48" spans="1:10" ht="22.5" customHeight="1">
      <c r="A48" s="383" t="s">
        <v>628</v>
      </c>
      <c r="B48" s="389" t="s">
        <v>629</v>
      </c>
      <c r="C48" s="397">
        <v>1.3999999999999999E-2</v>
      </c>
      <c r="D48" s="397">
        <v>2.0999999999999998E-2</v>
      </c>
      <c r="E48" s="397">
        <v>2.7999999999999997E-2</v>
      </c>
      <c r="F48" s="397">
        <v>3.4999999999999996E-2</v>
      </c>
      <c r="G48" s="397" t="s">
        <v>630</v>
      </c>
      <c r="H48" s="397">
        <v>2.5000000000000001E-2</v>
      </c>
      <c r="I48" s="397">
        <v>2.5000000000000001E-2</v>
      </c>
      <c r="J48" s="386" t="s">
        <v>627</v>
      </c>
    </row>
    <row r="49" spans="1:11" ht="22.5" customHeight="1">
      <c r="A49" s="383" t="s">
        <v>631</v>
      </c>
      <c r="B49" s="389" t="s">
        <v>631</v>
      </c>
      <c r="C49" s="387">
        <v>6.4999999999999997E-3</v>
      </c>
      <c r="D49" s="387">
        <v>6.4999999999999997E-3</v>
      </c>
      <c r="E49" s="387">
        <v>6.4999999999999997E-3</v>
      </c>
      <c r="F49" s="387">
        <v>6.4999999999999997E-3</v>
      </c>
      <c r="G49" s="387">
        <v>6.4999999999999997E-3</v>
      </c>
      <c r="H49" s="387">
        <v>6.4999999999999997E-3</v>
      </c>
      <c r="I49" s="387">
        <v>6.4999999999999997E-3</v>
      </c>
      <c r="J49" s="386" t="s">
        <v>627</v>
      </c>
    </row>
    <row r="50" spans="1:11" ht="22.5" customHeight="1">
      <c r="A50" s="383" t="s">
        <v>632</v>
      </c>
      <c r="B50" s="389" t="s">
        <v>630</v>
      </c>
      <c r="C50" s="387">
        <v>0.03</v>
      </c>
      <c r="D50" s="387">
        <v>0.03</v>
      </c>
      <c r="E50" s="387">
        <v>0.03</v>
      </c>
      <c r="F50" s="387">
        <v>0.03</v>
      </c>
      <c r="G50" s="387">
        <v>0.03</v>
      </c>
      <c r="H50" s="387">
        <v>0.03</v>
      </c>
      <c r="I50" s="387">
        <v>0.03</v>
      </c>
      <c r="J50" s="386" t="s">
        <v>627</v>
      </c>
    </row>
    <row r="51" spans="1:11" ht="22.5" customHeight="1">
      <c r="A51" s="383" t="s">
        <v>633</v>
      </c>
      <c r="B51" s="389" t="s">
        <v>634</v>
      </c>
      <c r="C51" s="393">
        <v>4.4999999999999998E-2</v>
      </c>
      <c r="D51" s="393">
        <v>4.4999999999999998E-2</v>
      </c>
      <c r="E51" s="393">
        <v>4.4999999999999998E-2</v>
      </c>
      <c r="F51" s="393">
        <v>4.4999999999999998E-2</v>
      </c>
      <c r="G51" s="393">
        <v>4.4999999999999998E-2</v>
      </c>
      <c r="H51" s="393">
        <v>4.4999999999999998E-2</v>
      </c>
      <c r="I51" s="393">
        <v>4.4999999999999998E-2</v>
      </c>
      <c r="J51" s="386" t="s">
        <v>627</v>
      </c>
    </row>
    <row r="52" spans="1:11">
      <c r="A52" s="629"/>
      <c r="B52" s="630"/>
      <c r="C52" s="630"/>
      <c r="D52" s="630"/>
      <c r="E52" s="630"/>
      <c r="F52" s="630"/>
      <c r="G52" s="630"/>
      <c r="H52" s="630"/>
      <c r="I52" s="630"/>
      <c r="J52" s="631"/>
    </row>
    <row r="53" spans="1:11">
      <c r="A53" s="632" t="s">
        <v>635</v>
      </c>
      <c r="B53" s="633"/>
      <c r="C53" s="636" t="s">
        <v>636</v>
      </c>
      <c r="D53" s="637"/>
      <c r="E53" s="637"/>
      <c r="F53" s="637"/>
      <c r="G53" s="637"/>
      <c r="H53" s="637"/>
      <c r="I53" s="637"/>
      <c r="J53" s="638"/>
    </row>
    <row r="54" spans="1:11">
      <c r="A54" s="634"/>
      <c r="B54" s="635"/>
      <c r="C54" s="639" t="s">
        <v>637</v>
      </c>
      <c r="D54" s="640"/>
      <c r="E54" s="640"/>
      <c r="F54" s="640"/>
      <c r="G54" s="640"/>
      <c r="H54" s="640"/>
      <c r="I54" s="640"/>
      <c r="J54" s="641"/>
    </row>
    <row r="55" spans="1:11" ht="22.5" customHeight="1">
      <c r="A55" s="642" t="s">
        <v>638</v>
      </c>
      <c r="B55" s="643"/>
      <c r="C55" s="394">
        <f>(1+(C41+C44))*(1+C43)*(1+C42)-1</f>
        <v>0.15301304866681997</v>
      </c>
      <c r="D55" s="394">
        <f t="shared" ref="D55:I55" si="5">(1+(D41+D44))*(1+D43)*(1+D42)-1</f>
        <v>0.15301304866681997</v>
      </c>
      <c r="E55" s="394">
        <f t="shared" si="5"/>
        <v>0.15301304866681997</v>
      </c>
      <c r="F55" s="394">
        <f t="shared" si="5"/>
        <v>0.15301304866681997</v>
      </c>
      <c r="G55" s="394">
        <f t="shared" si="5"/>
        <v>0.10757669733061981</v>
      </c>
      <c r="H55" s="394">
        <f t="shared" si="5"/>
        <v>0.12680901439655989</v>
      </c>
      <c r="I55" s="394">
        <f t="shared" si="5"/>
        <v>0.10757669733061981</v>
      </c>
      <c r="J55" s="644"/>
      <c r="K55" s="398"/>
    </row>
    <row r="56" spans="1:11" ht="22.5" customHeight="1">
      <c r="A56" s="642" t="s">
        <v>639</v>
      </c>
      <c r="B56" s="643"/>
      <c r="C56" s="394">
        <f>(1-(C47+C51))</f>
        <v>0.90449999999999997</v>
      </c>
      <c r="D56" s="394">
        <f t="shared" ref="D56:I56" si="6">(1-(D47+D51))</f>
        <v>0.89749999999999996</v>
      </c>
      <c r="E56" s="394">
        <f t="shared" si="6"/>
        <v>0.89049999999999996</v>
      </c>
      <c r="F56" s="394">
        <f t="shared" si="6"/>
        <v>0.88349999999999995</v>
      </c>
      <c r="G56" s="394">
        <f t="shared" si="6"/>
        <v>0.91849999999999998</v>
      </c>
      <c r="H56" s="394">
        <f t="shared" si="6"/>
        <v>0.89349999999999996</v>
      </c>
      <c r="I56" s="394">
        <f t="shared" si="6"/>
        <v>0.89349999999999996</v>
      </c>
      <c r="J56" s="645"/>
      <c r="K56" s="398"/>
    </row>
    <row r="57" spans="1:11" ht="11.25" customHeight="1">
      <c r="A57" s="647" t="s">
        <v>640</v>
      </c>
      <c r="B57" s="648"/>
      <c r="C57" s="625">
        <f>(1+C55)/C56-1</f>
        <v>0.2747518503779105</v>
      </c>
      <c r="D57" s="625">
        <f t="shared" ref="D57:I57" si="7">(1+D55)/D56-1</f>
        <v>0.28469420464269635</v>
      </c>
      <c r="E57" s="625">
        <f t="shared" si="7"/>
        <v>0.29479286767750712</v>
      </c>
      <c r="F57" s="625">
        <f t="shared" si="7"/>
        <v>0.30505155480115453</v>
      </c>
      <c r="G57" s="625">
        <f t="shared" si="7"/>
        <v>0.20585378043616753</v>
      </c>
      <c r="H57" s="625">
        <f t="shared" si="7"/>
        <v>0.26111809109855622</v>
      </c>
      <c r="I57" s="625">
        <f t="shared" si="7"/>
        <v>0.23959339376678224</v>
      </c>
      <c r="J57" s="645"/>
    </row>
    <row r="58" spans="1:11" ht="11.25" customHeight="1">
      <c r="A58" s="649"/>
      <c r="B58" s="650"/>
      <c r="C58" s="625"/>
      <c r="D58" s="625"/>
      <c r="E58" s="625"/>
      <c r="F58" s="625"/>
      <c r="G58" s="625"/>
      <c r="H58" s="625"/>
      <c r="I58" s="625"/>
      <c r="J58" s="646"/>
    </row>
    <row r="59" spans="1:11">
      <c r="A59" s="626" t="s">
        <v>641</v>
      </c>
      <c r="B59" s="627"/>
      <c r="C59" s="627"/>
      <c r="D59" s="627"/>
      <c r="E59" s="627"/>
      <c r="F59" s="627"/>
      <c r="G59" s="627"/>
      <c r="H59" s="627"/>
      <c r="I59" s="627"/>
      <c r="J59" s="628"/>
    </row>
    <row r="60" spans="1:11" ht="86.25" customHeight="1">
      <c r="A60" s="621" t="s">
        <v>656</v>
      </c>
      <c r="B60" s="622"/>
      <c r="C60" s="622"/>
      <c r="D60" s="622"/>
      <c r="E60" s="622"/>
      <c r="F60" s="622"/>
      <c r="G60" s="622"/>
      <c r="H60" s="622"/>
      <c r="I60" s="622"/>
      <c r="J60" s="623"/>
    </row>
    <row r="61" spans="1:11" ht="15" customHeight="1">
      <c r="A61" s="624" t="s">
        <v>643</v>
      </c>
      <c r="B61" s="624"/>
      <c r="C61" s="624"/>
      <c r="D61" s="624"/>
      <c r="E61" s="624"/>
      <c r="F61" s="624"/>
      <c r="G61" s="624"/>
      <c r="H61" s="624"/>
      <c r="I61" s="624"/>
      <c r="J61" s="624"/>
    </row>
    <row r="62" spans="1:11">
      <c r="A62" s="624"/>
      <c r="B62" s="624"/>
      <c r="C62" s="624"/>
      <c r="D62" s="624"/>
      <c r="E62" s="624"/>
      <c r="F62" s="624"/>
      <c r="G62" s="624"/>
      <c r="H62" s="624"/>
      <c r="I62" s="624"/>
      <c r="J62" s="624"/>
    </row>
    <row r="63" spans="1:11">
      <c r="A63" s="624"/>
      <c r="B63" s="624"/>
      <c r="C63" s="624"/>
      <c r="D63" s="624"/>
      <c r="E63" s="624"/>
      <c r="F63" s="624"/>
      <c r="G63" s="624"/>
      <c r="H63" s="624"/>
      <c r="I63" s="624"/>
      <c r="J63" s="624"/>
    </row>
    <row r="64" spans="1:11">
      <c r="A64" s="624"/>
      <c r="B64" s="624"/>
      <c r="C64" s="624"/>
      <c r="D64" s="624"/>
      <c r="E64" s="624"/>
      <c r="F64" s="624"/>
      <c r="G64" s="624"/>
      <c r="H64" s="624"/>
      <c r="I64" s="624"/>
      <c r="J64" s="624"/>
    </row>
    <row r="65" spans="1:10">
      <c r="A65" s="624"/>
      <c r="B65" s="624"/>
      <c r="C65" s="624"/>
      <c r="D65" s="624"/>
      <c r="E65" s="624"/>
      <c r="F65" s="624"/>
      <c r="G65" s="624"/>
      <c r="H65" s="624"/>
      <c r="I65" s="624"/>
      <c r="J65" s="624"/>
    </row>
  </sheetData>
  <mergeCells count="66">
    <mergeCell ref="A26:J26"/>
    <mergeCell ref="A27:J27"/>
    <mergeCell ref="A28:J32"/>
    <mergeCell ref="C24:C25"/>
    <mergeCell ref="D24:D25"/>
    <mergeCell ref="E24:E25"/>
    <mergeCell ref="F24:F25"/>
    <mergeCell ref="G24:G25"/>
    <mergeCell ref="H24:I25"/>
    <mergeCell ref="A19:J19"/>
    <mergeCell ref="A20:B21"/>
    <mergeCell ref="C20:J20"/>
    <mergeCell ref="C21:J21"/>
    <mergeCell ref="A22:B22"/>
    <mergeCell ref="H22:I22"/>
    <mergeCell ref="J22:J25"/>
    <mergeCell ref="A23:B23"/>
    <mergeCell ref="H23:I23"/>
    <mergeCell ref="A24:B25"/>
    <mergeCell ref="H13:I13"/>
    <mergeCell ref="H14:I14"/>
    <mergeCell ref="H15:I15"/>
    <mergeCell ref="H16:I16"/>
    <mergeCell ref="H17:I17"/>
    <mergeCell ref="H18:I18"/>
    <mergeCell ref="H7:I7"/>
    <mergeCell ref="H8:I8"/>
    <mergeCell ref="H9:I9"/>
    <mergeCell ref="H10:I10"/>
    <mergeCell ref="H11:I11"/>
    <mergeCell ref="H12:I12"/>
    <mergeCell ref="A1:J1"/>
    <mergeCell ref="A3:J3"/>
    <mergeCell ref="A4:A6"/>
    <mergeCell ref="B4:B6"/>
    <mergeCell ref="C4:I4"/>
    <mergeCell ref="J4:J6"/>
    <mergeCell ref="C5:F5"/>
    <mergeCell ref="G5:I5"/>
    <mergeCell ref="H6:I6"/>
    <mergeCell ref="A34:J34"/>
    <mergeCell ref="A36:J36"/>
    <mergeCell ref="A37:A39"/>
    <mergeCell ref="B37:B39"/>
    <mergeCell ref="C37:I37"/>
    <mergeCell ref="J37:J39"/>
    <mergeCell ref="C38:F38"/>
    <mergeCell ref="G38:I38"/>
    <mergeCell ref="A52:J52"/>
    <mergeCell ref="A53:B54"/>
    <mergeCell ref="C53:J53"/>
    <mergeCell ref="C54:J54"/>
    <mergeCell ref="A55:B55"/>
    <mergeCell ref="J55:J58"/>
    <mergeCell ref="A56:B56"/>
    <mergeCell ref="A57:B58"/>
    <mergeCell ref="C57:C58"/>
    <mergeCell ref="D57:D58"/>
    <mergeCell ref="A60:J60"/>
    <mergeCell ref="A61:J65"/>
    <mergeCell ref="E57:E58"/>
    <mergeCell ref="F57:F58"/>
    <mergeCell ref="G57:G58"/>
    <mergeCell ref="H57:H58"/>
    <mergeCell ref="I57:I58"/>
    <mergeCell ref="A59:J5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254"/>
  <sheetViews>
    <sheetView view="pageBreakPreview" topLeftCell="A223" zoomScale="70" zoomScaleNormal="85" zoomScaleSheetLayoutView="70" workbookViewId="0">
      <selection activeCell="I237" sqref="I237"/>
    </sheetView>
  </sheetViews>
  <sheetFormatPr defaultRowHeight="13.2"/>
  <cols>
    <col min="1" max="1" width="34.44140625" customWidth="1"/>
    <col min="2" max="2" width="22.5546875" customWidth="1"/>
    <col min="3" max="3" width="49.5546875" customWidth="1"/>
    <col min="4" max="4" width="24.109375" customWidth="1"/>
    <col min="5" max="5" width="18.6640625" customWidth="1"/>
    <col min="6" max="6" width="17.6640625" customWidth="1"/>
    <col min="7" max="7" width="19.44140625" customWidth="1"/>
    <col min="8" max="8" width="19" customWidth="1"/>
    <col min="9" max="9" width="19.88671875" customWidth="1"/>
    <col min="10" max="10" width="17.88671875" customWidth="1"/>
    <col min="11" max="11" width="5.88671875" customWidth="1"/>
  </cols>
  <sheetData>
    <row r="1" spans="1:256" s="279" customFormat="1" ht="14.25" customHeight="1">
      <c r="A1" s="766" t="s">
        <v>290</v>
      </c>
      <c r="B1" s="767"/>
      <c r="C1" s="767"/>
      <c r="D1" s="767"/>
      <c r="E1" s="767"/>
      <c r="F1" s="767"/>
      <c r="G1" s="767"/>
      <c r="H1" s="767"/>
      <c r="I1" s="767"/>
      <c r="J1" s="768"/>
      <c r="K1" s="278"/>
    </row>
    <row r="2" spans="1:256" s="220" customFormat="1" ht="12.75" customHeight="1">
      <c r="A2" s="769"/>
      <c r="B2" s="770"/>
      <c r="C2" s="770"/>
      <c r="D2" s="770"/>
      <c r="E2" s="770"/>
      <c r="F2" s="770"/>
      <c r="G2" s="770"/>
      <c r="H2" s="770"/>
      <c r="I2" s="770"/>
      <c r="J2" s="771"/>
      <c r="K2" s="223"/>
    </row>
    <row r="3" spans="1:256" s="220" customFormat="1" ht="18" customHeight="1">
      <c r="A3" s="280" t="s">
        <v>155</v>
      </c>
      <c r="B3" s="772" t="s">
        <v>645</v>
      </c>
      <c r="C3" s="773"/>
      <c r="D3" s="773"/>
      <c r="E3" s="773"/>
      <c r="F3" s="773"/>
      <c r="G3" s="773"/>
      <c r="H3" s="773"/>
      <c r="I3" s="773"/>
      <c r="J3" s="774"/>
      <c r="K3" s="223"/>
    </row>
    <row r="4" spans="1:256" s="220" customFormat="1" ht="20.25" customHeight="1">
      <c r="A4" s="281" t="s">
        <v>156</v>
      </c>
      <c r="B4" s="772" t="s">
        <v>381</v>
      </c>
      <c r="C4" s="773"/>
      <c r="D4" s="773"/>
      <c r="E4" s="773"/>
      <c r="F4" s="773"/>
      <c r="G4" s="773"/>
      <c r="H4" s="773"/>
      <c r="I4" s="773"/>
      <c r="J4" s="774"/>
      <c r="K4" s="223"/>
    </row>
    <row r="5" spans="1:256" s="220" customFormat="1" ht="20.25" customHeight="1">
      <c r="A5" s="757"/>
      <c r="B5" s="758"/>
      <c r="C5" s="758"/>
      <c r="D5" s="758"/>
      <c r="E5" s="758"/>
      <c r="F5" s="758"/>
      <c r="G5" s="758"/>
      <c r="H5" s="758"/>
      <c r="I5" s="758"/>
      <c r="J5" s="759"/>
      <c r="K5" s="223"/>
    </row>
    <row r="6" spans="1:256" s="220" customFormat="1" ht="20.25" customHeight="1" thickBot="1">
      <c r="A6" s="757"/>
      <c r="B6" s="758"/>
      <c r="C6" s="758"/>
      <c r="D6" s="758"/>
      <c r="E6" s="758"/>
      <c r="F6" s="758"/>
      <c r="G6" s="758"/>
      <c r="H6" s="758"/>
      <c r="I6" s="758"/>
      <c r="J6" s="759"/>
    </row>
    <row r="7" spans="1:256" s="202" customFormat="1" ht="16.2" thickBot="1">
      <c r="A7" s="201">
        <v>1</v>
      </c>
      <c r="B7" s="760" t="s">
        <v>438</v>
      </c>
      <c r="C7" s="761"/>
      <c r="D7" s="761"/>
      <c r="E7" s="761"/>
      <c r="F7" s="761"/>
      <c r="G7" s="761"/>
      <c r="H7" s="761"/>
      <c r="I7" s="761"/>
      <c r="J7" s="762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220"/>
      <c r="AA7" s="220"/>
      <c r="AB7" s="220"/>
      <c r="AC7" s="220"/>
      <c r="AD7" s="220"/>
      <c r="AE7" s="220"/>
      <c r="AF7" s="220"/>
      <c r="AG7" s="220"/>
      <c r="AH7" s="220"/>
      <c r="AI7" s="220"/>
      <c r="AJ7" s="220"/>
      <c r="AK7" s="220"/>
      <c r="AL7" s="220"/>
      <c r="AM7" s="220"/>
      <c r="AN7" s="220"/>
      <c r="AO7" s="220"/>
      <c r="AP7" s="220"/>
      <c r="AQ7" s="220"/>
      <c r="AR7" s="220"/>
      <c r="AS7" s="220"/>
      <c r="AT7" s="220"/>
      <c r="AU7" s="220"/>
      <c r="AV7" s="220"/>
      <c r="AW7" s="220"/>
      <c r="AX7" s="220"/>
      <c r="AY7" s="220"/>
      <c r="AZ7" s="220"/>
      <c r="BA7" s="220"/>
      <c r="BB7" s="220"/>
      <c r="BC7" s="220"/>
      <c r="BD7" s="220"/>
      <c r="BE7" s="220"/>
      <c r="BF7" s="220"/>
      <c r="BG7" s="220"/>
      <c r="BH7" s="220"/>
      <c r="BI7" s="220"/>
      <c r="BJ7" s="220"/>
      <c r="BK7" s="220"/>
      <c r="BL7" s="220"/>
      <c r="BM7" s="220"/>
      <c r="BN7" s="220"/>
      <c r="BO7" s="220"/>
      <c r="BP7" s="220"/>
      <c r="BQ7" s="220"/>
      <c r="BR7" s="220"/>
      <c r="BS7" s="220"/>
      <c r="BT7" s="220"/>
      <c r="BU7" s="220"/>
      <c r="BV7" s="220"/>
      <c r="BW7" s="220"/>
      <c r="BX7" s="220"/>
      <c r="BY7" s="220"/>
      <c r="BZ7" s="220"/>
      <c r="CA7" s="220"/>
      <c r="CB7" s="220"/>
      <c r="CC7" s="220"/>
      <c r="CD7" s="220"/>
      <c r="CE7" s="220"/>
      <c r="CF7" s="220"/>
      <c r="CG7" s="220"/>
      <c r="CH7" s="220"/>
      <c r="CI7" s="220"/>
      <c r="CJ7" s="220"/>
      <c r="CK7" s="220"/>
      <c r="CL7" s="220"/>
      <c r="CM7" s="220"/>
      <c r="CN7" s="220"/>
      <c r="CO7" s="220"/>
      <c r="CP7" s="220"/>
      <c r="CQ7" s="220"/>
      <c r="CR7" s="220"/>
      <c r="CS7" s="220"/>
      <c r="CT7" s="220"/>
      <c r="CU7" s="220"/>
      <c r="CV7" s="220"/>
      <c r="CW7" s="220"/>
      <c r="CX7" s="220"/>
      <c r="CY7" s="220"/>
      <c r="CZ7" s="220"/>
      <c r="DA7" s="220"/>
      <c r="DB7" s="220"/>
      <c r="DC7" s="220"/>
      <c r="DD7" s="220"/>
      <c r="DE7" s="220"/>
      <c r="DF7" s="220"/>
      <c r="DG7" s="220"/>
      <c r="DH7" s="220"/>
      <c r="DI7" s="220"/>
      <c r="DJ7" s="220"/>
      <c r="DK7" s="220"/>
      <c r="DL7" s="220"/>
      <c r="DM7" s="220"/>
      <c r="DN7" s="220"/>
      <c r="DO7" s="220"/>
      <c r="DP7" s="220"/>
      <c r="DQ7" s="220"/>
      <c r="DR7" s="220"/>
      <c r="DS7" s="220"/>
      <c r="DT7" s="220"/>
      <c r="DU7" s="220"/>
      <c r="DV7" s="220"/>
      <c r="DW7" s="220"/>
      <c r="DX7" s="220"/>
      <c r="DY7" s="220"/>
      <c r="DZ7" s="220"/>
      <c r="EA7" s="220"/>
      <c r="EB7" s="220"/>
      <c r="EC7" s="220"/>
      <c r="ED7" s="220"/>
      <c r="EE7" s="220"/>
      <c r="EF7" s="220"/>
      <c r="EG7" s="220"/>
      <c r="EH7" s="220"/>
      <c r="EI7" s="220"/>
      <c r="EJ7" s="220"/>
      <c r="EK7" s="220"/>
      <c r="EL7" s="220"/>
      <c r="EM7" s="220"/>
      <c r="EN7" s="220"/>
      <c r="EO7" s="220"/>
      <c r="EP7" s="220"/>
      <c r="EQ7" s="220"/>
      <c r="ER7" s="220"/>
      <c r="ES7" s="220"/>
      <c r="ET7" s="220"/>
      <c r="EU7" s="220"/>
      <c r="EV7" s="220"/>
      <c r="EW7" s="220"/>
      <c r="EX7" s="220"/>
      <c r="EY7" s="220"/>
      <c r="EZ7" s="220"/>
      <c r="FA7" s="220"/>
      <c r="FB7" s="220"/>
      <c r="FC7" s="220"/>
      <c r="FD7" s="220"/>
      <c r="FE7" s="220"/>
      <c r="FF7" s="220"/>
      <c r="FG7" s="220"/>
      <c r="FH7" s="220"/>
      <c r="FI7" s="220"/>
      <c r="FJ7" s="220"/>
      <c r="FK7" s="220"/>
      <c r="FL7" s="220"/>
      <c r="FM7" s="220"/>
      <c r="FN7" s="220"/>
      <c r="FO7" s="220"/>
      <c r="FP7" s="220"/>
      <c r="FQ7" s="220"/>
      <c r="FR7" s="220"/>
      <c r="FS7" s="220"/>
      <c r="FT7" s="220"/>
      <c r="FU7" s="220"/>
      <c r="FV7" s="220"/>
      <c r="FW7" s="220"/>
      <c r="FX7" s="220"/>
      <c r="FY7" s="220"/>
      <c r="FZ7" s="220"/>
      <c r="GA7" s="220"/>
      <c r="GB7" s="220"/>
      <c r="GC7" s="220"/>
    </row>
    <row r="8" spans="1:256" s="220" customFormat="1" ht="15.6">
      <c r="A8" s="221"/>
      <c r="J8" s="223"/>
    </row>
    <row r="9" spans="1:256" s="205" customFormat="1" ht="15.6">
      <c r="A9" s="302" t="s">
        <v>99</v>
      </c>
      <c r="B9" s="690" t="s">
        <v>102</v>
      </c>
      <c r="C9" s="690"/>
      <c r="D9" s="690"/>
      <c r="E9" s="690"/>
      <c r="F9" s="690"/>
      <c r="G9" s="690"/>
      <c r="H9" s="690"/>
      <c r="I9" s="690"/>
      <c r="J9" s="691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/>
      <c r="AH9" s="220"/>
      <c r="AI9" s="220"/>
      <c r="AJ9" s="220"/>
      <c r="AK9" s="220"/>
      <c r="AL9" s="220"/>
      <c r="AM9" s="220"/>
      <c r="AN9" s="220"/>
      <c r="AO9" s="220"/>
      <c r="AP9" s="220"/>
      <c r="AQ9" s="220"/>
      <c r="AR9" s="220"/>
      <c r="AS9" s="220"/>
      <c r="AT9" s="220"/>
      <c r="AU9" s="220"/>
      <c r="AV9" s="220"/>
      <c r="AW9" s="220"/>
      <c r="AX9" s="220"/>
      <c r="AY9" s="220"/>
      <c r="AZ9" s="220"/>
      <c r="BA9" s="220"/>
      <c r="BB9" s="220"/>
      <c r="BC9" s="220"/>
      <c r="BD9" s="220"/>
      <c r="BE9" s="220"/>
      <c r="BF9" s="220"/>
      <c r="BG9" s="220"/>
      <c r="BH9" s="220"/>
      <c r="BI9" s="220"/>
      <c r="BJ9" s="220"/>
      <c r="BK9" s="220"/>
      <c r="BL9" s="220"/>
      <c r="BM9" s="220"/>
      <c r="BN9" s="220"/>
      <c r="BO9" s="220"/>
      <c r="BP9" s="220"/>
      <c r="BQ9" s="220"/>
      <c r="BR9" s="220"/>
      <c r="BS9" s="220"/>
      <c r="BT9" s="220"/>
      <c r="BU9" s="220"/>
      <c r="BV9" s="220"/>
      <c r="BW9" s="220"/>
      <c r="BX9" s="220"/>
      <c r="BY9" s="220"/>
      <c r="BZ9" s="220"/>
      <c r="CA9" s="220"/>
      <c r="CB9" s="220"/>
      <c r="CC9" s="220"/>
      <c r="CD9" s="220"/>
      <c r="CE9" s="220"/>
      <c r="CF9" s="220"/>
      <c r="CG9" s="220"/>
      <c r="CH9" s="220"/>
      <c r="CI9" s="220"/>
      <c r="CJ9" s="220"/>
      <c r="CK9" s="220"/>
      <c r="CL9" s="220"/>
      <c r="CM9" s="220"/>
      <c r="CN9" s="220"/>
      <c r="CO9" s="220"/>
      <c r="CP9" s="220"/>
      <c r="CQ9" s="220"/>
      <c r="CR9" s="220"/>
      <c r="CS9" s="220"/>
      <c r="CT9" s="220"/>
      <c r="CU9" s="220"/>
      <c r="CV9" s="220"/>
      <c r="CW9" s="220"/>
      <c r="CX9" s="220"/>
      <c r="CY9" s="220"/>
      <c r="CZ9" s="220"/>
      <c r="DA9" s="220"/>
      <c r="DB9" s="220"/>
      <c r="DC9" s="220"/>
      <c r="DD9" s="220"/>
      <c r="DE9" s="220"/>
      <c r="DF9" s="220"/>
      <c r="DG9" s="220"/>
      <c r="DH9" s="220"/>
      <c r="DI9" s="220"/>
      <c r="DJ9" s="220"/>
      <c r="DK9" s="220"/>
      <c r="DL9" s="220"/>
      <c r="DM9" s="220"/>
      <c r="DN9" s="220"/>
      <c r="DO9" s="220"/>
      <c r="DP9" s="220"/>
      <c r="DQ9" s="220"/>
      <c r="DR9" s="220"/>
      <c r="DS9" s="220"/>
      <c r="DT9" s="220"/>
      <c r="DU9" s="220"/>
      <c r="DV9" s="220"/>
      <c r="DW9" s="220"/>
      <c r="DX9" s="220"/>
      <c r="DY9" s="220"/>
      <c r="DZ9" s="220"/>
      <c r="EA9" s="220"/>
      <c r="EB9" s="220"/>
      <c r="EC9" s="220"/>
      <c r="ED9" s="220"/>
      <c r="EE9" s="220"/>
      <c r="EF9" s="220"/>
      <c r="EG9" s="220"/>
      <c r="EH9" s="220"/>
      <c r="EI9" s="220"/>
      <c r="EJ9" s="220"/>
      <c r="EK9" s="220"/>
      <c r="EL9" s="220"/>
      <c r="EM9" s="220"/>
      <c r="EN9" s="220"/>
      <c r="EO9" s="220"/>
      <c r="EP9" s="220"/>
      <c r="EQ9" s="220"/>
      <c r="ER9" s="220"/>
      <c r="ES9" s="220"/>
      <c r="ET9" s="220"/>
      <c r="EU9" s="220"/>
      <c r="EV9" s="220"/>
      <c r="EW9" s="220"/>
      <c r="EX9" s="220"/>
      <c r="EY9" s="220"/>
      <c r="EZ9" s="220"/>
      <c r="FA9" s="220"/>
      <c r="FB9" s="220"/>
      <c r="FC9" s="220"/>
      <c r="FD9" s="220"/>
      <c r="FE9" s="220"/>
      <c r="FF9" s="220"/>
      <c r="FG9" s="220"/>
      <c r="FH9" s="220"/>
      <c r="FI9" s="220"/>
      <c r="FJ9" s="220"/>
      <c r="FK9" s="220"/>
      <c r="FL9" s="220"/>
      <c r="FM9" s="220"/>
      <c r="FN9" s="220"/>
      <c r="FO9" s="220"/>
      <c r="FP9" s="220"/>
      <c r="FQ9" s="220"/>
      <c r="FR9" s="220"/>
      <c r="FS9" s="220"/>
      <c r="FT9" s="220"/>
      <c r="FU9" s="220"/>
      <c r="FV9" s="220"/>
      <c r="FW9" s="220"/>
      <c r="FX9" s="220"/>
      <c r="FY9" s="220"/>
      <c r="FZ9" s="220"/>
      <c r="GA9" s="220"/>
      <c r="GB9" s="220"/>
      <c r="GC9" s="220"/>
      <c r="GD9" s="203"/>
      <c r="GE9" s="203"/>
      <c r="GF9" s="203"/>
      <c r="GG9" s="203"/>
      <c r="GH9" s="204"/>
      <c r="GI9" s="203"/>
      <c r="GJ9" s="203"/>
      <c r="GK9" s="203"/>
      <c r="GL9" s="203"/>
      <c r="GM9" s="203"/>
      <c r="GN9" s="203"/>
      <c r="GO9" s="204"/>
      <c r="GP9" s="203"/>
      <c r="GQ9" s="203"/>
      <c r="GR9" s="203"/>
      <c r="GS9" s="203"/>
      <c r="GT9" s="203"/>
      <c r="GU9" s="203"/>
      <c r="GV9" s="204"/>
      <c r="GW9" s="203"/>
      <c r="GX9" s="203"/>
      <c r="GY9" s="203"/>
      <c r="GZ9" s="203"/>
      <c r="HA9" s="203"/>
      <c r="HB9" s="203"/>
      <c r="HC9" s="204"/>
      <c r="HD9" s="203"/>
      <c r="HE9" s="203"/>
      <c r="HF9" s="203"/>
      <c r="HG9" s="203"/>
      <c r="HH9" s="203"/>
      <c r="HI9" s="203"/>
      <c r="HJ9" s="204"/>
      <c r="HK9" s="203"/>
      <c r="HL9" s="203"/>
      <c r="HM9" s="203"/>
      <c r="HN9" s="203"/>
      <c r="HO9" s="203"/>
      <c r="HP9" s="203"/>
      <c r="HQ9" s="204"/>
      <c r="HR9" s="203"/>
      <c r="HS9" s="203"/>
      <c r="HT9" s="203"/>
      <c r="HU9" s="203"/>
      <c r="HV9" s="203"/>
      <c r="HW9" s="203"/>
      <c r="HX9" s="204"/>
      <c r="HY9" s="203"/>
      <c r="HZ9" s="203"/>
      <c r="IA9" s="203"/>
      <c r="IB9" s="203"/>
      <c r="IC9" s="203"/>
      <c r="ID9" s="203"/>
      <c r="IE9" s="204"/>
      <c r="IF9" s="203"/>
      <c r="IG9" s="203"/>
      <c r="IH9" s="203"/>
      <c r="II9" s="203"/>
      <c r="IJ9" s="203"/>
      <c r="IK9" s="203"/>
      <c r="IL9" s="204"/>
      <c r="IM9" s="203"/>
      <c r="IN9" s="203"/>
      <c r="IO9" s="203"/>
      <c r="IP9" s="203"/>
      <c r="IQ9" s="203"/>
      <c r="IR9" s="203"/>
      <c r="IS9" s="204"/>
      <c r="IT9" s="203"/>
      <c r="IU9" s="203"/>
      <c r="IV9" s="203"/>
    </row>
    <row r="10" spans="1:256" s="220" customFormat="1" ht="15.6">
      <c r="A10" s="221"/>
      <c r="J10" s="223"/>
    </row>
    <row r="11" spans="1:256" s="310" customFormat="1" ht="20.25" customHeight="1">
      <c r="A11" s="308" t="s">
        <v>157</v>
      </c>
      <c r="B11" s="309" t="s">
        <v>308</v>
      </c>
      <c r="C11" s="313"/>
      <c r="D11" s="692" t="s">
        <v>343</v>
      </c>
      <c r="E11" s="693"/>
      <c r="F11" s="693"/>
      <c r="G11" s="693"/>
      <c r="H11" s="693"/>
      <c r="I11" s="693"/>
      <c r="J11" s="694"/>
    </row>
    <row r="12" spans="1:256" s="310" customFormat="1" ht="32.25" customHeight="1">
      <c r="A12" s="308" t="s">
        <v>158</v>
      </c>
      <c r="B12" s="311"/>
      <c r="C12" s="315"/>
      <c r="D12" s="695"/>
      <c r="E12" s="696"/>
      <c r="F12" s="696"/>
      <c r="G12" s="696"/>
      <c r="H12" s="696"/>
      <c r="I12" s="696"/>
      <c r="J12" s="697"/>
    </row>
    <row r="13" spans="1:256" s="227" customFormat="1" ht="15.6">
      <c r="A13" s="222"/>
      <c r="B13" s="206"/>
      <c r="C13" s="207"/>
      <c r="D13" s="208" t="s">
        <v>292</v>
      </c>
      <c r="E13" s="209"/>
      <c r="F13" s="209"/>
      <c r="G13" s="207"/>
      <c r="H13" s="207"/>
      <c r="I13" s="210" t="s">
        <v>374</v>
      </c>
      <c r="J13" s="224"/>
    </row>
    <row r="14" spans="1:256" s="227" customFormat="1" ht="15.6">
      <c r="A14" s="698"/>
      <c r="B14" s="699"/>
      <c r="C14" s="211"/>
      <c r="D14" s="212">
        <v>1</v>
      </c>
      <c r="E14" s="212"/>
      <c r="F14" s="212"/>
      <c r="G14" s="212"/>
      <c r="H14" s="212"/>
      <c r="I14" s="212">
        <f>D14</f>
        <v>1</v>
      </c>
      <c r="J14" s="224"/>
    </row>
    <row r="15" spans="1:256" s="227" customFormat="1" ht="15.6">
      <c r="A15" s="700" t="s">
        <v>51</v>
      </c>
      <c r="B15" s="701"/>
      <c r="C15" s="701"/>
      <c r="D15" s="701"/>
      <c r="E15" s="701"/>
      <c r="F15" s="701"/>
      <c r="G15" s="701"/>
      <c r="H15" s="702"/>
      <c r="I15" s="213">
        <f>ROUND(I14,2)</f>
        <v>1</v>
      </c>
      <c r="J15" s="225"/>
    </row>
    <row r="16" spans="1:256" s="227" customFormat="1" ht="15.6">
      <c r="A16" s="221"/>
      <c r="J16" s="223"/>
    </row>
    <row r="17" spans="1:10" s="310" customFormat="1" ht="20.25" customHeight="1">
      <c r="A17" s="308"/>
      <c r="B17" s="309" t="s">
        <v>354</v>
      </c>
      <c r="C17" s="313"/>
      <c r="D17" s="692" t="str">
        <f>'PLANILHA '!C12</f>
        <v>DEMOLIÇÃO DE REVESTIMENTO ASFÁLTICO COM EQUIPAMENTO PNEUMÁTICO, INCLUSIVE AFASTAMENTO</v>
      </c>
      <c r="E17" s="726"/>
      <c r="F17" s="726"/>
      <c r="G17" s="726"/>
      <c r="H17" s="726"/>
      <c r="I17" s="726"/>
      <c r="J17" s="727"/>
    </row>
    <row r="18" spans="1:10" s="310" customFormat="1" ht="21.75" customHeight="1">
      <c r="A18" s="308" t="s">
        <v>158</v>
      </c>
      <c r="B18" s="311"/>
      <c r="C18" s="315"/>
      <c r="D18" s="728"/>
      <c r="E18" s="729"/>
      <c r="F18" s="729"/>
      <c r="G18" s="729"/>
      <c r="H18" s="729"/>
      <c r="I18" s="729"/>
      <c r="J18" s="730"/>
    </row>
    <row r="19" spans="1:10" s="227" customFormat="1" ht="15.6">
      <c r="A19" s="222"/>
      <c r="B19" s="206"/>
      <c r="C19" s="207"/>
      <c r="D19" s="208" t="s">
        <v>338</v>
      </c>
      <c r="E19" s="208" t="s">
        <v>160</v>
      </c>
      <c r="F19" s="236" t="s">
        <v>378</v>
      </c>
      <c r="G19" s="209"/>
      <c r="H19" s="207" t="s">
        <v>159</v>
      </c>
      <c r="I19" s="210" t="s">
        <v>367</v>
      </c>
      <c r="J19" s="224"/>
    </row>
    <row r="20" spans="1:10" s="227" customFormat="1" ht="31.5" customHeight="1">
      <c r="A20" s="731" t="s">
        <v>412</v>
      </c>
      <c r="B20" s="732"/>
      <c r="C20" s="241"/>
      <c r="D20" s="230">
        <v>5.9</v>
      </c>
      <c r="E20" s="230"/>
      <c r="F20" s="230"/>
      <c r="G20" s="230"/>
      <c r="H20" s="230">
        <v>1</v>
      </c>
      <c r="I20" s="212">
        <f>D20*H20</f>
        <v>5.9</v>
      </c>
      <c r="J20" s="224"/>
    </row>
    <row r="21" spans="1:10" s="227" customFormat="1" ht="30.75" customHeight="1">
      <c r="A21" s="731" t="s">
        <v>413</v>
      </c>
      <c r="B21" s="732"/>
      <c r="C21" s="241"/>
      <c r="D21" s="230">
        <v>27.4</v>
      </c>
      <c r="E21" s="230"/>
      <c r="F21" s="230"/>
      <c r="G21" s="230"/>
      <c r="H21" s="230">
        <v>1</v>
      </c>
      <c r="I21" s="212">
        <f>D21*H21</f>
        <v>27.4</v>
      </c>
      <c r="J21" s="224"/>
    </row>
    <row r="22" spans="1:10" s="227" customFormat="1" ht="15.6">
      <c r="A22" s="700" t="s">
        <v>51</v>
      </c>
      <c r="B22" s="701"/>
      <c r="C22" s="701"/>
      <c r="D22" s="701"/>
      <c r="E22" s="701"/>
      <c r="F22" s="701"/>
      <c r="G22" s="701"/>
      <c r="H22" s="702"/>
      <c r="I22" s="213">
        <f>ROUND(I20+I21,2)</f>
        <v>33.299999999999997</v>
      </c>
      <c r="J22" s="225"/>
    </row>
    <row r="23" spans="1:10" s="227" customFormat="1" ht="15.6">
      <c r="A23" s="221"/>
      <c r="J23" s="223"/>
    </row>
    <row r="24" spans="1:10" s="310" customFormat="1" ht="19.5" customHeight="1">
      <c r="A24" s="308" t="s">
        <v>157</v>
      </c>
      <c r="B24" s="309" t="s">
        <v>355</v>
      </c>
      <c r="C24" s="313"/>
      <c r="D24" s="692" t="s">
        <v>369</v>
      </c>
      <c r="E24" s="726"/>
      <c r="F24" s="726"/>
      <c r="G24" s="726"/>
      <c r="H24" s="726"/>
      <c r="I24" s="726"/>
      <c r="J24" s="727"/>
    </row>
    <row r="25" spans="1:10" s="310" customFormat="1" ht="18.75" customHeight="1">
      <c r="A25" s="308" t="s">
        <v>158</v>
      </c>
      <c r="B25" s="311"/>
      <c r="C25" s="315"/>
      <c r="D25" s="728"/>
      <c r="E25" s="729"/>
      <c r="F25" s="729"/>
      <c r="G25" s="729"/>
      <c r="H25" s="729"/>
      <c r="I25" s="729"/>
      <c r="J25" s="730"/>
    </row>
    <row r="26" spans="1:10" s="227" customFormat="1" ht="15.6">
      <c r="A26" s="222"/>
      <c r="B26" s="242"/>
      <c r="C26" s="243"/>
      <c r="D26" s="208" t="s">
        <v>338</v>
      </c>
      <c r="E26" s="208" t="s">
        <v>160</v>
      </c>
      <c r="F26" s="236" t="s">
        <v>378</v>
      </c>
      <c r="G26" s="209" t="s">
        <v>414</v>
      </c>
      <c r="H26" s="207" t="s">
        <v>159</v>
      </c>
      <c r="I26" s="210" t="s">
        <v>302</v>
      </c>
      <c r="J26" s="224"/>
    </row>
    <row r="27" spans="1:10" s="227" customFormat="1" ht="31.5" customHeight="1">
      <c r="A27" s="731" t="s">
        <v>415</v>
      </c>
      <c r="B27" s="732"/>
      <c r="C27" s="734" t="s">
        <v>417</v>
      </c>
      <c r="D27" s="240">
        <v>24</v>
      </c>
      <c r="E27" s="230"/>
      <c r="F27" s="230"/>
      <c r="G27" s="230">
        <v>3</v>
      </c>
      <c r="H27" s="230">
        <v>1</v>
      </c>
      <c r="I27" s="212">
        <f>H27*D27*G27</f>
        <v>72</v>
      </c>
      <c r="J27" s="224"/>
    </row>
    <row r="28" spans="1:10" s="227" customFormat="1" ht="23.25" customHeight="1">
      <c r="A28" s="698" t="s">
        <v>416</v>
      </c>
      <c r="B28" s="733"/>
      <c r="C28" s="735"/>
      <c r="D28" s="240">
        <f>D21</f>
        <v>27.4</v>
      </c>
      <c r="E28" s="230"/>
      <c r="F28" s="230"/>
      <c r="G28" s="230">
        <v>3</v>
      </c>
      <c r="H28" s="230">
        <v>1</v>
      </c>
      <c r="I28" s="212">
        <f>H28*D28*G28</f>
        <v>82.199999999999989</v>
      </c>
      <c r="J28" s="224"/>
    </row>
    <row r="29" spans="1:10" s="227" customFormat="1" ht="15.6">
      <c r="A29" s="700" t="s">
        <v>51</v>
      </c>
      <c r="B29" s="701"/>
      <c r="C29" s="701"/>
      <c r="D29" s="701"/>
      <c r="E29" s="701"/>
      <c r="F29" s="701"/>
      <c r="G29" s="701"/>
      <c r="H29" s="702"/>
      <c r="I29" s="213">
        <f>ROUND(I27+I28,2)</f>
        <v>154.19999999999999</v>
      </c>
      <c r="J29" s="225"/>
    </row>
    <row r="30" spans="1:10" s="227" customFormat="1" ht="15.6">
      <c r="A30" s="221"/>
      <c r="J30" s="223"/>
    </row>
    <row r="31" spans="1:10" s="310" customFormat="1" ht="19.5" customHeight="1">
      <c r="A31" s="308" t="s">
        <v>157</v>
      </c>
      <c r="B31" s="309" t="s">
        <v>355</v>
      </c>
      <c r="C31" s="313"/>
      <c r="D31" s="692" t="s">
        <v>372</v>
      </c>
      <c r="E31" s="726"/>
      <c r="F31" s="726"/>
      <c r="G31" s="726"/>
      <c r="H31" s="726"/>
      <c r="I31" s="726"/>
      <c r="J31" s="727"/>
    </row>
    <row r="32" spans="1:10" s="310" customFormat="1" ht="18.75" customHeight="1">
      <c r="A32" s="308" t="s">
        <v>158</v>
      </c>
      <c r="B32" s="311"/>
      <c r="C32" s="315"/>
      <c r="D32" s="728"/>
      <c r="E32" s="729"/>
      <c r="F32" s="729"/>
      <c r="G32" s="729"/>
      <c r="H32" s="729"/>
      <c r="I32" s="729"/>
      <c r="J32" s="730"/>
    </row>
    <row r="33" spans="1:256" s="227" customFormat="1" ht="16.2">
      <c r="A33" s="222"/>
      <c r="B33" s="206"/>
      <c r="C33" s="207"/>
      <c r="D33" s="208" t="s">
        <v>370</v>
      </c>
      <c r="E33" s="209"/>
      <c r="F33" s="209"/>
      <c r="G33" s="207"/>
      <c r="H33" s="207"/>
      <c r="I33" s="210" t="s">
        <v>302</v>
      </c>
      <c r="J33" s="224"/>
    </row>
    <row r="34" spans="1:256" s="227" customFormat="1" ht="31.2">
      <c r="A34" s="698"/>
      <c r="B34" s="699"/>
      <c r="C34" s="211" t="s">
        <v>418</v>
      </c>
      <c r="D34" s="212">
        <f>I29</f>
        <v>154.19999999999999</v>
      </c>
      <c r="E34" s="212"/>
      <c r="F34" s="212"/>
      <c r="G34" s="212"/>
      <c r="H34" s="212"/>
      <c r="I34" s="212">
        <f>D34-E34</f>
        <v>154.19999999999999</v>
      </c>
      <c r="J34" s="224"/>
    </row>
    <row r="35" spans="1:256" s="227" customFormat="1" ht="15.6">
      <c r="A35" s="700" t="s">
        <v>51</v>
      </c>
      <c r="B35" s="701"/>
      <c r="C35" s="701"/>
      <c r="D35" s="701"/>
      <c r="E35" s="701"/>
      <c r="F35" s="701"/>
      <c r="G35" s="701"/>
      <c r="H35" s="702"/>
      <c r="I35" s="213">
        <f>ROUND(I34,2)</f>
        <v>154.19999999999999</v>
      </c>
      <c r="J35" s="225"/>
    </row>
    <row r="36" spans="1:256" s="227" customFormat="1" ht="15.6">
      <c r="A36" s="736"/>
      <c r="B36" s="737"/>
      <c r="C36" s="737"/>
      <c r="D36" s="737"/>
      <c r="E36" s="737"/>
      <c r="F36" s="737"/>
      <c r="G36" s="737"/>
      <c r="H36" s="737"/>
      <c r="I36" s="737"/>
      <c r="J36" s="738"/>
    </row>
    <row r="37" spans="1:256" s="310" customFormat="1" ht="20.25" customHeight="1">
      <c r="A37" s="308" t="s">
        <v>157</v>
      </c>
      <c r="B37" s="309" t="s">
        <v>368</v>
      </c>
      <c r="C37" s="313"/>
      <c r="D37" s="692" t="s">
        <v>344</v>
      </c>
      <c r="E37" s="693"/>
      <c r="F37" s="693"/>
      <c r="G37" s="693"/>
      <c r="H37" s="693"/>
      <c r="I37" s="693"/>
      <c r="J37" s="694"/>
    </row>
    <row r="38" spans="1:256" s="310" customFormat="1" ht="18.75" customHeight="1">
      <c r="A38" s="308" t="s">
        <v>158</v>
      </c>
      <c r="B38" s="311"/>
      <c r="C38" s="315"/>
      <c r="D38" s="695"/>
      <c r="E38" s="696"/>
      <c r="F38" s="696"/>
      <c r="G38" s="696"/>
      <c r="H38" s="696"/>
      <c r="I38" s="696"/>
      <c r="J38" s="697"/>
    </row>
    <row r="39" spans="1:256" s="227" customFormat="1" ht="15.6">
      <c r="A39" s="222"/>
      <c r="B39" s="206"/>
      <c r="C39" s="207"/>
      <c r="D39" s="208" t="s">
        <v>318</v>
      </c>
      <c r="E39" s="209"/>
      <c r="F39" s="209"/>
      <c r="G39" s="207"/>
      <c r="H39" s="207"/>
      <c r="I39" s="210" t="s">
        <v>319</v>
      </c>
      <c r="J39" s="224"/>
    </row>
    <row r="40" spans="1:256" s="227" customFormat="1" ht="15.6">
      <c r="A40" s="698" t="s">
        <v>379</v>
      </c>
      <c r="B40" s="699"/>
      <c r="C40" s="211"/>
      <c r="D40" s="212">
        <v>4</v>
      </c>
      <c r="E40" s="212"/>
      <c r="F40" s="212"/>
      <c r="G40" s="212"/>
      <c r="H40" s="212"/>
      <c r="I40" s="212">
        <f>D40</f>
        <v>4</v>
      </c>
      <c r="J40" s="224"/>
    </row>
    <row r="41" spans="1:256" s="227" customFormat="1" ht="15.6">
      <c r="A41" s="698" t="s">
        <v>380</v>
      </c>
      <c r="B41" s="699"/>
      <c r="C41" s="211"/>
      <c r="D41" s="212">
        <v>2</v>
      </c>
      <c r="E41" s="212"/>
      <c r="F41" s="212"/>
      <c r="G41" s="212"/>
      <c r="H41" s="212"/>
      <c r="I41" s="212">
        <f>D41</f>
        <v>2</v>
      </c>
      <c r="J41" s="224"/>
    </row>
    <row r="42" spans="1:256" s="227" customFormat="1" ht="15.6">
      <c r="A42" s="700" t="s">
        <v>51</v>
      </c>
      <c r="B42" s="701"/>
      <c r="C42" s="701"/>
      <c r="D42" s="701"/>
      <c r="E42" s="701"/>
      <c r="F42" s="701"/>
      <c r="G42" s="701"/>
      <c r="H42" s="702"/>
      <c r="I42" s="213">
        <f>ROUND(I40+I41,2)</f>
        <v>6</v>
      </c>
      <c r="J42" s="225"/>
    </row>
    <row r="43" spans="1:256" s="227" customFormat="1" ht="15.6">
      <c r="A43" s="221"/>
      <c r="J43" s="223"/>
    </row>
    <row r="44" spans="1:256" s="306" customFormat="1" ht="15.6">
      <c r="A44" s="302" t="s">
        <v>100</v>
      </c>
      <c r="B44" s="690" t="s">
        <v>320</v>
      </c>
      <c r="C44" s="690"/>
      <c r="D44" s="690"/>
      <c r="E44" s="690"/>
      <c r="F44" s="690"/>
      <c r="G44" s="690"/>
      <c r="H44" s="690"/>
      <c r="I44" s="690"/>
      <c r="J44" s="691"/>
      <c r="K44" s="303"/>
      <c r="L44" s="304"/>
      <c r="M44" s="304"/>
      <c r="N44" s="304"/>
      <c r="O44" s="305"/>
      <c r="P44" s="304"/>
      <c r="Q44" s="304"/>
      <c r="R44" s="304"/>
      <c r="S44" s="304"/>
      <c r="T44" s="304"/>
      <c r="U44" s="304"/>
      <c r="V44" s="305"/>
      <c r="W44" s="304"/>
      <c r="X44" s="304"/>
      <c r="Y44" s="304"/>
      <c r="Z44" s="304"/>
      <c r="AA44" s="304"/>
      <c r="AB44" s="304"/>
      <c r="AC44" s="305"/>
      <c r="AD44" s="304"/>
      <c r="AE44" s="304"/>
      <c r="AF44" s="304"/>
      <c r="AG44" s="304"/>
      <c r="AH44" s="304"/>
      <c r="AI44" s="304"/>
      <c r="AJ44" s="305"/>
      <c r="AK44" s="304"/>
      <c r="AL44" s="304"/>
      <c r="AM44" s="304"/>
      <c r="AN44" s="304"/>
      <c r="AO44" s="304"/>
      <c r="AP44" s="304"/>
      <c r="AQ44" s="305"/>
      <c r="AR44" s="304"/>
      <c r="AS44" s="304"/>
      <c r="AT44" s="304"/>
      <c r="AU44" s="304"/>
      <c r="AV44" s="304"/>
      <c r="AW44" s="304"/>
      <c r="AX44" s="305"/>
      <c r="AY44" s="304"/>
      <c r="AZ44" s="304"/>
      <c r="BA44" s="304"/>
      <c r="BB44" s="304"/>
      <c r="BC44" s="304"/>
      <c r="BD44" s="304"/>
      <c r="BE44" s="305"/>
      <c r="BF44" s="304"/>
      <c r="BG44" s="304"/>
      <c r="BH44" s="304"/>
      <c r="BI44" s="304"/>
      <c r="BJ44" s="304"/>
      <c r="BK44" s="304"/>
      <c r="BL44" s="305"/>
      <c r="BM44" s="304"/>
      <c r="BN44" s="304"/>
      <c r="BO44" s="304"/>
      <c r="BP44" s="304"/>
      <c r="BQ44" s="304"/>
      <c r="BR44" s="304"/>
      <c r="BS44" s="305"/>
      <c r="BT44" s="304"/>
      <c r="BU44" s="304"/>
      <c r="BV44" s="304"/>
      <c r="BW44" s="304"/>
      <c r="BX44" s="304"/>
      <c r="BY44" s="304"/>
      <c r="BZ44" s="305"/>
      <c r="CA44" s="304"/>
      <c r="CB44" s="304"/>
      <c r="CC44" s="304"/>
      <c r="CD44" s="304"/>
      <c r="CE44" s="304"/>
      <c r="CF44" s="304"/>
      <c r="CG44" s="305"/>
      <c r="CH44" s="304"/>
      <c r="CI44" s="304"/>
      <c r="CJ44" s="304"/>
      <c r="CK44" s="304"/>
      <c r="CL44" s="304"/>
      <c r="CM44" s="304"/>
      <c r="CN44" s="305"/>
      <c r="CO44" s="304"/>
      <c r="CP44" s="304"/>
      <c r="CQ44" s="304"/>
      <c r="CR44" s="304"/>
      <c r="CS44" s="304"/>
      <c r="CT44" s="304"/>
      <c r="CU44" s="305"/>
      <c r="CV44" s="304"/>
      <c r="CW44" s="304"/>
      <c r="CX44" s="304"/>
      <c r="CY44" s="304"/>
      <c r="CZ44" s="304"/>
      <c r="DA44" s="304"/>
      <c r="DB44" s="305"/>
      <c r="DC44" s="304"/>
      <c r="DD44" s="304"/>
      <c r="DE44" s="304"/>
      <c r="DF44" s="304"/>
      <c r="DG44" s="304"/>
      <c r="DH44" s="304"/>
      <c r="DI44" s="305"/>
      <c r="DJ44" s="304"/>
      <c r="DK44" s="304"/>
      <c r="DL44" s="304"/>
      <c r="DM44" s="304"/>
      <c r="DN44" s="304"/>
      <c r="DO44" s="304"/>
      <c r="DP44" s="305"/>
      <c r="DQ44" s="304"/>
      <c r="DR44" s="304"/>
      <c r="DS44" s="304"/>
      <c r="DT44" s="304"/>
      <c r="DU44" s="304"/>
      <c r="DV44" s="304"/>
      <c r="DW44" s="305"/>
      <c r="DX44" s="304"/>
      <c r="DY44" s="304"/>
      <c r="DZ44" s="304"/>
      <c r="EA44" s="304"/>
      <c r="EB44" s="304"/>
      <c r="EC44" s="304"/>
      <c r="ED44" s="305"/>
      <c r="EE44" s="304"/>
      <c r="EF44" s="304"/>
      <c r="EG44" s="304"/>
      <c r="EH44" s="304"/>
      <c r="EI44" s="304"/>
      <c r="EJ44" s="304"/>
      <c r="EK44" s="305"/>
      <c r="EL44" s="304"/>
      <c r="EM44" s="304"/>
      <c r="EN44" s="304"/>
      <c r="EO44" s="304"/>
      <c r="EP44" s="304"/>
      <c r="EQ44" s="304"/>
      <c r="ER44" s="305"/>
      <c r="ES44" s="304"/>
      <c r="ET44" s="304"/>
      <c r="EU44" s="304"/>
      <c r="EV44" s="304"/>
      <c r="EW44" s="304"/>
      <c r="EX44" s="304"/>
      <c r="EY44" s="305"/>
      <c r="EZ44" s="304"/>
      <c r="FA44" s="304"/>
      <c r="FB44" s="304"/>
      <c r="FC44" s="304"/>
      <c r="FD44" s="304"/>
      <c r="FE44" s="304"/>
      <c r="FF44" s="305"/>
      <c r="FG44" s="304"/>
      <c r="FH44" s="304"/>
      <c r="FI44" s="304"/>
      <c r="FJ44" s="304"/>
      <c r="FK44" s="304"/>
      <c r="FL44" s="304"/>
      <c r="FM44" s="305"/>
      <c r="FN44" s="304"/>
      <c r="FO44" s="304"/>
      <c r="FP44" s="304"/>
      <c r="FQ44" s="304"/>
      <c r="FR44" s="304"/>
      <c r="FS44" s="304"/>
      <c r="FT44" s="305"/>
      <c r="FU44" s="304"/>
      <c r="FV44" s="304"/>
      <c r="FW44" s="304"/>
      <c r="FX44" s="304"/>
      <c r="FY44" s="304"/>
      <c r="FZ44" s="304"/>
      <c r="GA44" s="305"/>
      <c r="GB44" s="304"/>
      <c r="GC44" s="304"/>
      <c r="GD44" s="304"/>
      <c r="GE44" s="304"/>
      <c r="GF44" s="304"/>
      <c r="GG44" s="304"/>
      <c r="GH44" s="305"/>
      <c r="GI44" s="304"/>
      <c r="GJ44" s="304"/>
      <c r="GK44" s="304"/>
      <c r="GL44" s="304"/>
      <c r="GM44" s="304"/>
      <c r="GN44" s="304"/>
      <c r="GO44" s="305"/>
      <c r="GP44" s="304"/>
      <c r="GQ44" s="304"/>
      <c r="GR44" s="304"/>
      <c r="GS44" s="304"/>
      <c r="GT44" s="304"/>
      <c r="GU44" s="304"/>
      <c r="GV44" s="305"/>
      <c r="GW44" s="304"/>
      <c r="GX44" s="304"/>
      <c r="GY44" s="304"/>
      <c r="GZ44" s="304"/>
      <c r="HA44" s="304"/>
      <c r="HB44" s="304"/>
      <c r="HC44" s="305"/>
      <c r="HD44" s="304"/>
      <c r="HE44" s="304"/>
      <c r="HF44" s="304"/>
      <c r="HG44" s="304"/>
      <c r="HH44" s="304"/>
      <c r="HI44" s="304"/>
      <c r="HJ44" s="305"/>
      <c r="HK44" s="304"/>
      <c r="HL44" s="304"/>
      <c r="HM44" s="304"/>
      <c r="HN44" s="304"/>
      <c r="HO44" s="304"/>
      <c r="HP44" s="304"/>
      <c r="HQ44" s="305"/>
      <c r="HR44" s="304"/>
      <c r="HS44" s="304"/>
      <c r="HT44" s="304"/>
      <c r="HU44" s="304"/>
      <c r="HV44" s="304"/>
      <c r="HW44" s="304"/>
      <c r="HX44" s="305"/>
      <c r="HY44" s="304"/>
      <c r="HZ44" s="304"/>
      <c r="IA44" s="304"/>
      <c r="IB44" s="304"/>
      <c r="IC44" s="304"/>
      <c r="ID44" s="304"/>
      <c r="IE44" s="305"/>
      <c r="IF44" s="304"/>
      <c r="IG44" s="304"/>
      <c r="IH44" s="304"/>
      <c r="II44" s="304"/>
      <c r="IJ44" s="304"/>
      <c r="IK44" s="304"/>
      <c r="IL44" s="305"/>
      <c r="IM44" s="304"/>
      <c r="IN44" s="304"/>
      <c r="IO44" s="304"/>
      <c r="IP44" s="304"/>
      <c r="IQ44" s="304"/>
      <c r="IR44" s="304"/>
      <c r="IS44" s="305"/>
      <c r="IT44" s="304"/>
      <c r="IU44" s="304"/>
      <c r="IV44" s="304"/>
    </row>
    <row r="45" spans="1:256" s="220" customFormat="1" ht="15.6">
      <c r="A45" s="221"/>
      <c r="J45" s="223"/>
    </row>
    <row r="46" spans="1:256" s="318" customFormat="1" ht="15.6">
      <c r="A46" s="308" t="s">
        <v>157</v>
      </c>
      <c r="B46" s="309" t="s">
        <v>309</v>
      </c>
      <c r="C46" s="313"/>
      <c r="D46" s="692" t="s">
        <v>371</v>
      </c>
      <c r="E46" s="693"/>
      <c r="F46" s="693"/>
      <c r="G46" s="693"/>
      <c r="H46" s="693"/>
      <c r="I46" s="693"/>
      <c r="J46" s="694"/>
    </row>
    <row r="47" spans="1:256" s="318" customFormat="1" ht="15.6">
      <c r="A47" s="308" t="s">
        <v>158</v>
      </c>
      <c r="B47" s="311"/>
      <c r="C47" s="315"/>
      <c r="D47" s="695"/>
      <c r="E47" s="696"/>
      <c r="F47" s="696"/>
      <c r="G47" s="696"/>
      <c r="H47" s="696"/>
      <c r="I47" s="696"/>
      <c r="J47" s="697"/>
    </row>
    <row r="48" spans="1:256" s="220" customFormat="1" ht="31.2">
      <c r="A48" s="222"/>
      <c r="B48" s="206"/>
      <c r="C48" s="207" t="s">
        <v>295</v>
      </c>
      <c r="D48" s="208" t="s">
        <v>321</v>
      </c>
      <c r="E48" s="214" t="s">
        <v>322</v>
      </c>
      <c r="F48" s="214" t="s">
        <v>294</v>
      </c>
      <c r="G48" s="207" t="s">
        <v>292</v>
      </c>
      <c r="H48" s="207"/>
      <c r="I48" s="210" t="s">
        <v>293</v>
      </c>
      <c r="J48" s="224"/>
    </row>
    <row r="49" spans="1:13" s="220" customFormat="1" ht="15.6">
      <c r="A49" s="698" t="s">
        <v>382</v>
      </c>
      <c r="B49" s="699"/>
      <c r="C49" s="215" t="s">
        <v>388</v>
      </c>
      <c r="D49" s="212">
        <f>4.5+0.2+0.2</f>
        <v>4.9000000000000004</v>
      </c>
      <c r="E49" s="212">
        <f>1.6+0.2+0.2</f>
        <v>2</v>
      </c>
      <c r="F49" s="212">
        <f>0.6+0.05</f>
        <v>0.65</v>
      </c>
      <c r="G49" s="212">
        <v>1</v>
      </c>
      <c r="H49" s="212"/>
      <c r="I49" s="212">
        <f>D49*E49*F49*G49</f>
        <v>6.370000000000001</v>
      </c>
      <c r="J49" s="226"/>
    </row>
    <row r="50" spans="1:13" s="220" customFormat="1" ht="15.6">
      <c r="A50" s="698" t="s">
        <v>383</v>
      </c>
      <c r="B50" s="699"/>
      <c r="C50" s="215" t="s">
        <v>389</v>
      </c>
      <c r="D50" s="212">
        <f>3.1+0.2+0.2</f>
        <v>3.5000000000000004</v>
      </c>
      <c r="E50" s="212">
        <f>1.6+0.2+0.2</f>
        <v>2</v>
      </c>
      <c r="F50" s="212">
        <f>0.6+0.05</f>
        <v>0.65</v>
      </c>
      <c r="G50" s="212">
        <v>1</v>
      </c>
      <c r="H50" s="212"/>
      <c r="I50" s="212">
        <f>D50*E50*F50*G50</f>
        <v>4.5500000000000007</v>
      </c>
      <c r="J50" s="226"/>
    </row>
    <row r="51" spans="1:13" s="220" customFormat="1" ht="15.6">
      <c r="A51" s="698" t="s">
        <v>384</v>
      </c>
      <c r="B51" s="699"/>
      <c r="C51" s="215" t="s">
        <v>390</v>
      </c>
      <c r="D51" s="212">
        <f>3.8+0.2+0.2</f>
        <v>4.2</v>
      </c>
      <c r="E51" s="212">
        <f>1.6+0.2+0.2</f>
        <v>2</v>
      </c>
      <c r="F51" s="212">
        <f>0.6+0.05</f>
        <v>0.65</v>
      </c>
      <c r="G51" s="212">
        <v>1</v>
      </c>
      <c r="H51" s="212"/>
      <c r="I51" s="212">
        <f>D51*E51*F51*G51</f>
        <v>5.4600000000000009</v>
      </c>
      <c r="J51" s="226"/>
    </row>
    <row r="52" spans="1:13" s="220" customFormat="1" ht="15.6">
      <c r="A52" s="237" t="s">
        <v>385</v>
      </c>
      <c r="B52" s="229"/>
      <c r="C52" s="239" t="s">
        <v>391</v>
      </c>
      <c r="D52" s="230">
        <f>10+0.2+0.2</f>
        <v>10.399999999999999</v>
      </c>
      <c r="E52" s="212">
        <f>1.6+0.2+0.2</f>
        <v>2</v>
      </c>
      <c r="F52" s="212">
        <f>0.6+0.05</f>
        <v>0.65</v>
      </c>
      <c r="G52" s="230">
        <v>1</v>
      </c>
      <c r="H52" s="230"/>
      <c r="I52" s="212">
        <f>D52*E52*F52*G52</f>
        <v>13.519999999999998</v>
      </c>
      <c r="J52" s="226"/>
    </row>
    <row r="53" spans="1:13" s="220" customFormat="1" ht="15.6">
      <c r="A53" s="700" t="s">
        <v>51</v>
      </c>
      <c r="B53" s="701"/>
      <c r="C53" s="701"/>
      <c r="D53" s="701"/>
      <c r="E53" s="701"/>
      <c r="F53" s="701"/>
      <c r="G53" s="701"/>
      <c r="H53" s="702"/>
      <c r="I53" s="213">
        <f>ROUND(I49+I50+I51+I52,2)</f>
        <v>29.9</v>
      </c>
      <c r="J53" s="225"/>
    </row>
    <row r="54" spans="1:13" s="220" customFormat="1" ht="15.6">
      <c r="A54" s="736"/>
      <c r="B54" s="737"/>
      <c r="C54" s="737"/>
      <c r="D54" s="737"/>
      <c r="E54" s="737"/>
      <c r="F54" s="737"/>
      <c r="G54" s="737"/>
      <c r="H54" s="737"/>
      <c r="I54" s="737"/>
      <c r="J54" s="738"/>
    </row>
    <row r="55" spans="1:13" s="318" customFormat="1" ht="15.6">
      <c r="A55" s="308" t="s">
        <v>157</v>
      </c>
      <c r="B55" s="309" t="s">
        <v>310</v>
      </c>
      <c r="C55" s="313"/>
      <c r="D55" s="741" t="s">
        <v>324</v>
      </c>
      <c r="E55" s="742"/>
      <c r="F55" s="742"/>
      <c r="G55" s="742"/>
      <c r="H55" s="742"/>
      <c r="I55" s="742"/>
      <c r="J55" s="743"/>
    </row>
    <row r="56" spans="1:13" s="318" customFormat="1" ht="15.6">
      <c r="A56" s="308" t="s">
        <v>158</v>
      </c>
      <c r="B56" s="311"/>
      <c r="C56" s="315"/>
      <c r="D56" s="744"/>
      <c r="E56" s="745"/>
      <c r="F56" s="745"/>
      <c r="G56" s="745"/>
      <c r="H56" s="745"/>
      <c r="I56" s="745"/>
      <c r="J56" s="746"/>
    </row>
    <row r="57" spans="1:13" s="220" customFormat="1" ht="31.2">
      <c r="A57" s="222"/>
      <c r="B57" s="206"/>
      <c r="C57" s="207"/>
      <c r="D57" s="208" t="s">
        <v>375</v>
      </c>
      <c r="E57" s="214" t="s">
        <v>377</v>
      </c>
      <c r="F57" s="214" t="s">
        <v>376</v>
      </c>
      <c r="G57" s="216" t="s">
        <v>553</v>
      </c>
      <c r="H57" s="207"/>
      <c r="I57" s="210" t="s">
        <v>323</v>
      </c>
      <c r="J57" s="224"/>
    </row>
    <row r="58" spans="1:13" s="220" customFormat="1" ht="15.6">
      <c r="A58" s="698" t="s">
        <v>386</v>
      </c>
      <c r="B58" s="699"/>
      <c r="C58" s="215"/>
      <c r="D58" s="212">
        <v>8</v>
      </c>
      <c r="E58" s="212">
        <v>5</v>
      </c>
      <c r="F58" s="212">
        <v>1</v>
      </c>
      <c r="G58" s="212">
        <f>ROUND(3.14*0.3*0.3/4,2)</f>
        <v>7.0000000000000007E-2</v>
      </c>
      <c r="H58" s="212"/>
      <c r="I58" s="212">
        <f>D58*E58*F58*G58</f>
        <v>2.8000000000000003</v>
      </c>
      <c r="J58" s="224"/>
      <c r="M58" s="220">
        <v>200</v>
      </c>
    </row>
    <row r="59" spans="1:13" s="220" customFormat="1" ht="15.6">
      <c r="A59" s="698" t="s">
        <v>387</v>
      </c>
      <c r="B59" s="699"/>
      <c r="C59" s="215"/>
      <c r="D59" s="212">
        <v>8</v>
      </c>
      <c r="E59" s="212">
        <v>6</v>
      </c>
      <c r="F59" s="212">
        <v>1</v>
      </c>
      <c r="G59" s="212">
        <f>ROUND(3.14*0.3*0.3/4,2)</f>
        <v>7.0000000000000007E-2</v>
      </c>
      <c r="H59" s="212"/>
      <c r="I59" s="212">
        <f>D59*E59*F59*G59</f>
        <v>3.3600000000000003</v>
      </c>
      <c r="J59" s="224"/>
    </row>
    <row r="60" spans="1:13" s="220" customFormat="1" ht="15.6">
      <c r="A60" s="700" t="s">
        <v>51</v>
      </c>
      <c r="B60" s="701"/>
      <c r="C60" s="701"/>
      <c r="D60" s="701"/>
      <c r="E60" s="701"/>
      <c r="F60" s="701"/>
      <c r="G60" s="701"/>
      <c r="H60" s="702"/>
      <c r="I60" s="213">
        <f>ROUND(I58+I59,2)</f>
        <v>6.16</v>
      </c>
      <c r="J60" s="225"/>
    </row>
    <row r="61" spans="1:13" s="220" customFormat="1" ht="15.6">
      <c r="A61" s="221"/>
      <c r="J61" s="223"/>
    </row>
    <row r="62" spans="1:13" s="318" customFormat="1" ht="15.6">
      <c r="A62" s="308" t="s">
        <v>157</v>
      </c>
      <c r="B62" s="309" t="s">
        <v>356</v>
      </c>
      <c r="C62" s="313"/>
      <c r="D62" s="741" t="s">
        <v>345</v>
      </c>
      <c r="E62" s="742"/>
      <c r="F62" s="742"/>
      <c r="G62" s="742"/>
      <c r="H62" s="742"/>
      <c r="I62" s="742"/>
      <c r="J62" s="743"/>
    </row>
    <row r="63" spans="1:13" s="318" customFormat="1" ht="15.6">
      <c r="A63" s="308" t="s">
        <v>158</v>
      </c>
      <c r="B63" s="311"/>
      <c r="C63" s="315"/>
      <c r="D63" s="744"/>
      <c r="E63" s="745"/>
      <c r="F63" s="745"/>
      <c r="G63" s="745"/>
      <c r="H63" s="745"/>
      <c r="I63" s="745"/>
      <c r="J63" s="746"/>
    </row>
    <row r="64" spans="1:13" s="220" customFormat="1" ht="31.2">
      <c r="A64" s="222"/>
      <c r="B64" s="206"/>
      <c r="C64" s="207" t="s">
        <v>295</v>
      </c>
      <c r="D64" s="208" t="s">
        <v>321</v>
      </c>
      <c r="E64" s="214" t="s">
        <v>322</v>
      </c>
      <c r="F64" s="207" t="s">
        <v>292</v>
      </c>
      <c r="G64" s="207"/>
      <c r="H64" s="207"/>
      <c r="I64" s="210" t="s">
        <v>325</v>
      </c>
      <c r="J64" s="224"/>
    </row>
    <row r="65" spans="1:10" s="220" customFormat="1" ht="15.6">
      <c r="A65" s="698" t="str">
        <f>A49</f>
        <v>SAPATA P1 - MODELO PEGÃO 1</v>
      </c>
      <c r="B65" s="699"/>
      <c r="C65" s="215" t="str">
        <f>C49</f>
        <v>SAPATA 4,50X1,60m</v>
      </c>
      <c r="D65" s="212">
        <f>D49</f>
        <v>4.9000000000000004</v>
      </c>
      <c r="E65" s="212">
        <f>E49</f>
        <v>2</v>
      </c>
      <c r="F65" s="212">
        <f>G49</f>
        <v>1</v>
      </c>
      <c r="G65" s="212"/>
      <c r="H65" s="212"/>
      <c r="I65" s="212">
        <f>D65*E65*F65</f>
        <v>9.8000000000000007</v>
      </c>
      <c r="J65" s="226"/>
    </row>
    <row r="66" spans="1:10" s="220" customFormat="1" ht="15.6">
      <c r="A66" s="698" t="str">
        <f>A50</f>
        <v>SAPATA P2 - MODELO PEGÃO 1</v>
      </c>
      <c r="B66" s="699"/>
      <c r="C66" s="215" t="str">
        <f t="shared" ref="C66:E68" si="0">C50</f>
        <v>SAPATA 3,10X1,60m</v>
      </c>
      <c r="D66" s="212">
        <f t="shared" si="0"/>
        <v>3.5000000000000004</v>
      </c>
      <c r="E66" s="212">
        <f t="shared" si="0"/>
        <v>2</v>
      </c>
      <c r="F66" s="212">
        <f>G50</f>
        <v>1</v>
      </c>
      <c r="G66" s="212"/>
      <c r="H66" s="212"/>
      <c r="I66" s="212">
        <f>D66*E66*F66</f>
        <v>7.0000000000000009</v>
      </c>
      <c r="J66" s="226"/>
    </row>
    <row r="67" spans="1:10" s="220" customFormat="1" ht="15.6">
      <c r="A67" s="698" t="str">
        <f>A51</f>
        <v>SAPATA P1 - MODELO PEGÃO 2</v>
      </c>
      <c r="B67" s="699"/>
      <c r="C67" s="215" t="str">
        <f t="shared" si="0"/>
        <v>SAPATA 3,80X1,60m</v>
      </c>
      <c r="D67" s="212">
        <f t="shared" si="0"/>
        <v>4.2</v>
      </c>
      <c r="E67" s="212">
        <f t="shared" si="0"/>
        <v>2</v>
      </c>
      <c r="F67" s="212">
        <f>G51</f>
        <v>1</v>
      </c>
      <c r="G67" s="212"/>
      <c r="H67" s="212"/>
      <c r="I67" s="212">
        <f>D67*E67*F67</f>
        <v>8.4</v>
      </c>
      <c r="J67" s="226"/>
    </row>
    <row r="68" spans="1:10" s="220" customFormat="1" ht="15.6">
      <c r="A68" s="698" t="str">
        <f>A52</f>
        <v>SAPATA P2 - MODELO PEGÃO 2</v>
      </c>
      <c r="B68" s="699"/>
      <c r="C68" s="215" t="str">
        <f t="shared" si="0"/>
        <v>SAPATA 10,00X1,60m</v>
      </c>
      <c r="D68" s="212">
        <f t="shared" si="0"/>
        <v>10.399999999999999</v>
      </c>
      <c r="E68" s="212">
        <f t="shared" si="0"/>
        <v>2</v>
      </c>
      <c r="F68" s="212">
        <f>G52</f>
        <v>1</v>
      </c>
      <c r="G68" s="230"/>
      <c r="H68" s="230"/>
      <c r="I68" s="212">
        <f>D68*E68*F68</f>
        <v>20.799999999999997</v>
      </c>
      <c r="J68" s="226"/>
    </row>
    <row r="69" spans="1:10" s="220" customFormat="1" ht="15.6">
      <c r="A69" s="700" t="s">
        <v>51</v>
      </c>
      <c r="B69" s="701"/>
      <c r="C69" s="701"/>
      <c r="D69" s="701"/>
      <c r="E69" s="701"/>
      <c r="F69" s="701"/>
      <c r="G69" s="701"/>
      <c r="H69" s="702"/>
      <c r="I69" s="213">
        <f>ROUND(I65+I66+I67+I68,2)</f>
        <v>46</v>
      </c>
      <c r="J69" s="225"/>
    </row>
    <row r="70" spans="1:10" s="220" customFormat="1" ht="15.6">
      <c r="A70" s="221"/>
      <c r="J70" s="223"/>
    </row>
    <row r="71" spans="1:10" s="318" customFormat="1" ht="15.75" customHeight="1">
      <c r="A71" s="308" t="s">
        <v>157</v>
      </c>
      <c r="B71" s="309" t="s">
        <v>357</v>
      </c>
      <c r="C71" s="313"/>
      <c r="D71" s="692" t="s">
        <v>346</v>
      </c>
      <c r="E71" s="693"/>
      <c r="F71" s="693"/>
      <c r="G71" s="693"/>
      <c r="H71" s="693"/>
      <c r="I71" s="693"/>
      <c r="J71" s="694"/>
    </row>
    <row r="72" spans="1:10" s="318" customFormat="1" ht="18" customHeight="1">
      <c r="A72" s="308" t="s">
        <v>158</v>
      </c>
      <c r="B72" s="311"/>
      <c r="C72" s="315"/>
      <c r="D72" s="695"/>
      <c r="E72" s="696"/>
      <c r="F72" s="696"/>
      <c r="G72" s="696"/>
      <c r="H72" s="696"/>
      <c r="I72" s="696"/>
      <c r="J72" s="697"/>
    </row>
    <row r="73" spans="1:10" s="220" customFormat="1" ht="31.2">
      <c r="A73" s="698"/>
      <c r="B73" s="699"/>
      <c r="C73" s="207" t="s">
        <v>295</v>
      </c>
      <c r="D73" s="208" t="s">
        <v>321</v>
      </c>
      <c r="E73" s="214" t="s">
        <v>322</v>
      </c>
      <c r="F73" s="214" t="s">
        <v>296</v>
      </c>
      <c r="G73" s="207" t="s">
        <v>292</v>
      </c>
      <c r="H73" s="207"/>
      <c r="I73" s="207" t="s">
        <v>293</v>
      </c>
      <c r="J73" s="224"/>
    </row>
    <row r="74" spans="1:10" s="220" customFormat="1" ht="15.6">
      <c r="A74" s="698" t="str">
        <f>A65</f>
        <v>SAPATA P1 - MODELO PEGÃO 1</v>
      </c>
      <c r="B74" s="699"/>
      <c r="C74" s="215" t="str">
        <f>C65</f>
        <v>SAPATA 4,50X1,60m</v>
      </c>
      <c r="D74" s="212">
        <f>D65</f>
        <v>4.9000000000000004</v>
      </c>
      <c r="E74" s="212">
        <f>E65</f>
        <v>2</v>
      </c>
      <c r="F74" s="212">
        <v>0.05</v>
      </c>
      <c r="G74" s="212">
        <f>F65</f>
        <v>1</v>
      </c>
      <c r="H74" s="212"/>
      <c r="I74" s="212">
        <f>D74*E74*F74*G74</f>
        <v>0.49000000000000005</v>
      </c>
      <c r="J74" s="224"/>
    </row>
    <row r="75" spans="1:10" s="220" customFormat="1" ht="15.6">
      <c r="A75" s="698" t="str">
        <f>A66</f>
        <v>SAPATA P2 - MODELO PEGÃO 1</v>
      </c>
      <c r="B75" s="699"/>
      <c r="C75" s="215" t="str">
        <f t="shared" ref="C75:E77" si="1">C66</f>
        <v>SAPATA 3,10X1,60m</v>
      </c>
      <c r="D75" s="212">
        <f t="shared" si="1"/>
        <v>3.5000000000000004</v>
      </c>
      <c r="E75" s="212">
        <f t="shared" si="1"/>
        <v>2</v>
      </c>
      <c r="F75" s="212">
        <v>0.05</v>
      </c>
      <c r="G75" s="212">
        <f>F66</f>
        <v>1</v>
      </c>
      <c r="H75" s="212"/>
      <c r="I75" s="212">
        <f>D75*E75*F75*G75</f>
        <v>0.35000000000000009</v>
      </c>
      <c r="J75" s="224"/>
    </row>
    <row r="76" spans="1:10" s="220" customFormat="1" ht="15.6">
      <c r="A76" s="698" t="str">
        <f>A67</f>
        <v>SAPATA P1 - MODELO PEGÃO 2</v>
      </c>
      <c r="B76" s="699"/>
      <c r="C76" s="215" t="str">
        <f t="shared" si="1"/>
        <v>SAPATA 3,80X1,60m</v>
      </c>
      <c r="D76" s="212">
        <f t="shared" si="1"/>
        <v>4.2</v>
      </c>
      <c r="E76" s="212">
        <f t="shared" si="1"/>
        <v>2</v>
      </c>
      <c r="F76" s="230">
        <v>0.05</v>
      </c>
      <c r="G76" s="230">
        <v>8</v>
      </c>
      <c r="H76" s="230"/>
      <c r="I76" s="212">
        <f>D76*E76*F76*G76</f>
        <v>3.3600000000000003</v>
      </c>
      <c r="J76" s="226"/>
    </row>
    <row r="77" spans="1:10" s="220" customFormat="1" ht="15.6">
      <c r="A77" s="698" t="str">
        <f>A68</f>
        <v>SAPATA P2 - MODELO PEGÃO 2</v>
      </c>
      <c r="B77" s="699"/>
      <c r="C77" s="215" t="str">
        <f t="shared" si="1"/>
        <v>SAPATA 10,00X1,60m</v>
      </c>
      <c r="D77" s="212">
        <f t="shared" si="1"/>
        <v>10.399999999999999</v>
      </c>
      <c r="E77" s="212">
        <f t="shared" si="1"/>
        <v>2</v>
      </c>
      <c r="F77" s="230">
        <v>0.05</v>
      </c>
      <c r="G77" s="230">
        <v>2</v>
      </c>
      <c r="H77" s="230"/>
      <c r="I77" s="212">
        <f>D77*E77*F77*G77</f>
        <v>2.0799999999999996</v>
      </c>
      <c r="J77" s="226"/>
    </row>
    <row r="78" spans="1:10" s="220" customFormat="1" ht="15.6">
      <c r="A78" s="700" t="s">
        <v>51</v>
      </c>
      <c r="B78" s="701"/>
      <c r="C78" s="701"/>
      <c r="D78" s="701"/>
      <c r="E78" s="701"/>
      <c r="F78" s="701"/>
      <c r="G78" s="701"/>
      <c r="H78" s="702"/>
      <c r="I78" s="213">
        <f>ROUND(I74+I75+I76+I77,2)</f>
        <v>6.28</v>
      </c>
      <c r="J78" s="225"/>
    </row>
    <row r="79" spans="1:10" s="220" customFormat="1" ht="15.6">
      <c r="A79" s="221"/>
      <c r="J79" s="223"/>
    </row>
    <row r="80" spans="1:10" s="318" customFormat="1" ht="15.6">
      <c r="A80" s="308" t="s">
        <v>157</v>
      </c>
      <c r="B80" s="309" t="s">
        <v>358</v>
      </c>
      <c r="C80" s="313"/>
      <c r="D80" s="751" t="s">
        <v>347</v>
      </c>
      <c r="E80" s="752"/>
      <c r="F80" s="752"/>
      <c r="G80" s="752"/>
      <c r="H80" s="752"/>
      <c r="I80" s="752"/>
      <c r="J80" s="753"/>
    </row>
    <row r="81" spans="1:10" s="318" customFormat="1" ht="15.6">
      <c r="A81" s="308" t="s">
        <v>158</v>
      </c>
      <c r="B81" s="311"/>
      <c r="C81" s="315"/>
      <c r="D81" s="754"/>
      <c r="E81" s="755"/>
      <c r="F81" s="755"/>
      <c r="G81" s="755"/>
      <c r="H81" s="755"/>
      <c r="I81" s="755"/>
      <c r="J81" s="756"/>
    </row>
    <row r="82" spans="1:10" s="220" customFormat="1" ht="15.6">
      <c r="A82" s="698"/>
      <c r="B82" s="699"/>
      <c r="C82" s="215"/>
      <c r="D82" s="208" t="s">
        <v>160</v>
      </c>
      <c r="E82" s="214" t="s">
        <v>300</v>
      </c>
      <c r="F82" s="207" t="s">
        <v>292</v>
      </c>
      <c r="G82" s="216" t="s">
        <v>301</v>
      </c>
      <c r="H82" s="207"/>
      <c r="I82" s="210" t="s">
        <v>291</v>
      </c>
      <c r="J82" s="224"/>
    </row>
    <row r="83" spans="1:10" s="220" customFormat="1" ht="15.6">
      <c r="A83" s="698" t="str">
        <f>A74</f>
        <v>SAPATA P1 - MODELO PEGÃO 1</v>
      </c>
      <c r="B83" s="699"/>
      <c r="C83" s="215" t="s">
        <v>392</v>
      </c>
      <c r="D83" s="212">
        <f>4.5+4.5+1.6+1.6</f>
        <v>12.2</v>
      </c>
      <c r="E83" s="212">
        <v>0.6</v>
      </c>
      <c r="F83" s="212">
        <v>1</v>
      </c>
      <c r="G83" s="212">
        <v>1</v>
      </c>
      <c r="H83" s="212"/>
      <c r="I83" s="212">
        <f>D83*E83*F83*G83</f>
        <v>7.3199999999999994</v>
      </c>
      <c r="J83" s="224"/>
    </row>
    <row r="84" spans="1:10" s="220" customFormat="1" ht="15.6">
      <c r="A84" s="698" t="str">
        <f>A75</f>
        <v>SAPATA P2 - MODELO PEGÃO 1</v>
      </c>
      <c r="B84" s="699"/>
      <c r="C84" s="215" t="s">
        <v>393</v>
      </c>
      <c r="D84" s="212">
        <f>3.1+1.6+3.1+1.6</f>
        <v>9.4</v>
      </c>
      <c r="E84" s="212">
        <v>0.6</v>
      </c>
      <c r="F84" s="212">
        <v>1</v>
      </c>
      <c r="G84" s="212">
        <v>1</v>
      </c>
      <c r="H84" s="212"/>
      <c r="I84" s="212">
        <f>D84*E84*F84*G84</f>
        <v>5.64</v>
      </c>
      <c r="J84" s="224"/>
    </row>
    <row r="85" spans="1:10" s="220" customFormat="1" ht="15.6">
      <c r="A85" s="698" t="str">
        <f>A76</f>
        <v>SAPATA P1 - MODELO PEGÃO 2</v>
      </c>
      <c r="B85" s="699"/>
      <c r="C85" s="215" t="s">
        <v>394</v>
      </c>
      <c r="D85" s="212">
        <f xml:space="preserve"> 3.8+3.8+1.6+1.6</f>
        <v>10.799999999999999</v>
      </c>
      <c r="E85" s="212">
        <v>0.6</v>
      </c>
      <c r="F85" s="212">
        <v>1</v>
      </c>
      <c r="G85" s="212">
        <v>1</v>
      </c>
      <c r="H85" s="212"/>
      <c r="I85" s="212">
        <f>D85*E85*F85*G85</f>
        <v>6.4799999999999995</v>
      </c>
      <c r="J85" s="224"/>
    </row>
    <row r="86" spans="1:10" s="220" customFormat="1" ht="15.6">
      <c r="A86" s="698" t="str">
        <f>A77</f>
        <v>SAPATA P2 - MODELO PEGÃO 2</v>
      </c>
      <c r="B86" s="699"/>
      <c r="C86" s="215" t="s">
        <v>395</v>
      </c>
      <c r="D86" s="212">
        <f xml:space="preserve"> 10+10+1.6+1.6</f>
        <v>23.200000000000003</v>
      </c>
      <c r="E86" s="212">
        <v>0.6</v>
      </c>
      <c r="F86" s="212">
        <v>1</v>
      </c>
      <c r="G86" s="212">
        <v>1</v>
      </c>
      <c r="H86" s="212"/>
      <c r="I86" s="212">
        <f>D86*E86*F86*G86</f>
        <v>13.920000000000002</v>
      </c>
      <c r="J86" s="224"/>
    </row>
    <row r="87" spans="1:10" s="220" customFormat="1" ht="15.6">
      <c r="A87" s="700" t="s">
        <v>51</v>
      </c>
      <c r="B87" s="701"/>
      <c r="C87" s="701"/>
      <c r="D87" s="701"/>
      <c r="E87" s="701"/>
      <c r="F87" s="701"/>
      <c r="G87" s="701"/>
      <c r="H87" s="702"/>
      <c r="I87" s="213">
        <f>ROUND(I83+I84+I85+I86,2)</f>
        <v>33.36</v>
      </c>
      <c r="J87" s="225"/>
    </row>
    <row r="88" spans="1:10" s="220" customFormat="1" ht="18" customHeight="1">
      <c r="A88" s="221"/>
      <c r="J88" s="223"/>
    </row>
    <row r="89" spans="1:10" s="318" customFormat="1" ht="15.6">
      <c r="A89" s="308" t="s">
        <v>157</v>
      </c>
      <c r="B89" s="309" t="s">
        <v>359</v>
      </c>
      <c r="C89" s="313"/>
      <c r="D89" s="692" t="s">
        <v>348</v>
      </c>
      <c r="E89" s="693"/>
      <c r="F89" s="693"/>
      <c r="G89" s="693"/>
      <c r="H89" s="693"/>
      <c r="I89" s="693"/>
      <c r="J89" s="694"/>
    </row>
    <row r="90" spans="1:10" s="318" customFormat="1" ht="15.6">
      <c r="A90" s="308" t="s">
        <v>158</v>
      </c>
      <c r="B90" s="311"/>
      <c r="C90" s="315"/>
      <c r="D90" s="695"/>
      <c r="E90" s="696"/>
      <c r="F90" s="696"/>
      <c r="G90" s="696"/>
      <c r="H90" s="696"/>
      <c r="I90" s="696"/>
      <c r="J90" s="697"/>
    </row>
    <row r="91" spans="1:10" s="220" customFormat="1" ht="15.6">
      <c r="A91" s="698"/>
      <c r="B91" s="699"/>
      <c r="C91" s="207"/>
      <c r="D91" s="208" t="s">
        <v>326</v>
      </c>
      <c r="E91" s="208"/>
      <c r="F91" s="207"/>
      <c r="G91" s="207"/>
      <c r="H91" s="207"/>
      <c r="I91" s="210" t="s">
        <v>299</v>
      </c>
      <c r="J91" s="224"/>
    </row>
    <row r="92" spans="1:10" s="220" customFormat="1" ht="15.75" customHeight="1">
      <c r="A92" s="698" t="s">
        <v>386</v>
      </c>
      <c r="B92" s="699"/>
      <c r="C92" s="228"/>
      <c r="D92" s="212">
        <v>327.93</v>
      </c>
      <c r="E92" s="212"/>
      <c r="F92" s="212"/>
      <c r="G92" s="212"/>
      <c r="H92" s="212"/>
      <c r="I92" s="212">
        <f>D92</f>
        <v>327.93</v>
      </c>
      <c r="J92" s="224"/>
    </row>
    <row r="93" spans="1:10" s="220" customFormat="1" ht="15.6">
      <c r="A93" s="698" t="s">
        <v>387</v>
      </c>
      <c r="B93" s="699"/>
      <c r="C93" s="228" t="s">
        <v>396</v>
      </c>
      <c r="D93" s="212">
        <f>154.74+861.84</f>
        <v>1016.58</v>
      </c>
      <c r="E93" s="212"/>
      <c r="F93" s="212"/>
      <c r="G93" s="212"/>
      <c r="H93" s="212"/>
      <c r="I93" s="212">
        <f>D93</f>
        <v>1016.58</v>
      </c>
      <c r="J93" s="224"/>
    </row>
    <row r="94" spans="1:10" s="220" customFormat="1" ht="15.6">
      <c r="A94" s="778" t="s">
        <v>541</v>
      </c>
      <c r="B94" s="699"/>
      <c r="C94" s="228"/>
      <c r="D94" s="346">
        <v>376.25</v>
      </c>
      <c r="E94" s="230"/>
      <c r="F94" s="230"/>
      <c r="G94" s="346"/>
      <c r="H94" s="230"/>
      <c r="I94" s="212">
        <f>D94</f>
        <v>376.25</v>
      </c>
      <c r="J94" s="224"/>
    </row>
    <row r="95" spans="1:10" s="220" customFormat="1" ht="15.6">
      <c r="A95" s="700" t="s">
        <v>51</v>
      </c>
      <c r="B95" s="701"/>
      <c r="C95" s="701"/>
      <c r="D95" s="701"/>
      <c r="E95" s="701"/>
      <c r="F95" s="701"/>
      <c r="G95" s="701"/>
      <c r="H95" s="702"/>
      <c r="I95" s="213">
        <f>ROUND(I92+I93+I94,2)</f>
        <v>1720.76</v>
      </c>
      <c r="J95" s="225"/>
    </row>
    <row r="96" spans="1:10" s="220" customFormat="1" ht="15.6">
      <c r="A96" s="221"/>
      <c r="J96" s="223"/>
    </row>
    <row r="97" spans="1:10" s="318" customFormat="1" ht="15.6">
      <c r="A97" s="308" t="s">
        <v>157</v>
      </c>
      <c r="B97" s="309" t="s">
        <v>360</v>
      </c>
      <c r="C97" s="313"/>
      <c r="D97" s="692" t="s">
        <v>349</v>
      </c>
      <c r="E97" s="693"/>
      <c r="F97" s="693"/>
      <c r="G97" s="693"/>
      <c r="H97" s="693"/>
      <c r="I97" s="693"/>
      <c r="J97" s="694"/>
    </row>
    <row r="98" spans="1:10" s="318" customFormat="1" ht="15.6">
      <c r="A98" s="308" t="s">
        <v>158</v>
      </c>
      <c r="B98" s="311"/>
      <c r="C98" s="315"/>
      <c r="D98" s="695"/>
      <c r="E98" s="696"/>
      <c r="F98" s="696"/>
      <c r="G98" s="696"/>
      <c r="H98" s="696"/>
      <c r="I98" s="696"/>
      <c r="J98" s="697"/>
    </row>
    <row r="99" spans="1:10" s="220" customFormat="1" ht="15.6">
      <c r="A99" s="698"/>
      <c r="B99" s="699"/>
      <c r="C99" s="207" t="s">
        <v>295</v>
      </c>
      <c r="D99" s="208" t="s">
        <v>329</v>
      </c>
      <c r="E99" s="214" t="s">
        <v>328</v>
      </c>
      <c r="F99" s="214" t="s">
        <v>327</v>
      </c>
      <c r="G99" s="207" t="s">
        <v>330</v>
      </c>
      <c r="H99" s="207" t="s">
        <v>292</v>
      </c>
      <c r="I99" s="210" t="s">
        <v>293</v>
      </c>
      <c r="J99" s="224"/>
    </row>
    <row r="100" spans="1:10" s="220" customFormat="1" ht="18" customHeight="1">
      <c r="A100" s="731" t="str">
        <f>A83</f>
        <v>SAPATA P1 - MODELO PEGÃO 1</v>
      </c>
      <c r="B100" s="739"/>
      <c r="C100" s="215" t="str">
        <f>C74</f>
        <v>SAPATA 4,50X1,60m</v>
      </c>
      <c r="D100" s="212">
        <v>4.5</v>
      </c>
      <c r="E100" s="212">
        <v>1.6</v>
      </c>
      <c r="F100" s="212">
        <v>0.6</v>
      </c>
      <c r="G100" s="212"/>
      <c r="H100" s="212">
        <v>1</v>
      </c>
      <c r="I100" s="212">
        <f>D100*E100*F100*H100</f>
        <v>4.32</v>
      </c>
      <c r="J100" s="224"/>
    </row>
    <row r="101" spans="1:10" s="220" customFormat="1" ht="18" customHeight="1">
      <c r="A101" s="731" t="str">
        <f>A84</f>
        <v>SAPATA P2 - MODELO PEGÃO 1</v>
      </c>
      <c r="B101" s="739"/>
      <c r="C101" s="215" t="str">
        <f>C75</f>
        <v>SAPATA 3,10X1,60m</v>
      </c>
      <c r="D101" s="212">
        <v>3.1</v>
      </c>
      <c r="E101" s="212">
        <v>1.6</v>
      </c>
      <c r="F101" s="212">
        <v>0.6</v>
      </c>
      <c r="G101" s="212"/>
      <c r="H101" s="212">
        <v>1</v>
      </c>
      <c r="I101" s="212">
        <f>D101*E101*F101*H101</f>
        <v>2.9760000000000004</v>
      </c>
      <c r="J101" s="224"/>
    </row>
    <row r="102" spans="1:10" s="220" customFormat="1" ht="18" customHeight="1">
      <c r="A102" s="731" t="str">
        <f>A85</f>
        <v>SAPATA P1 - MODELO PEGÃO 2</v>
      </c>
      <c r="B102" s="739"/>
      <c r="C102" s="215" t="str">
        <f>C76</f>
        <v>SAPATA 3,80X1,60m</v>
      </c>
      <c r="D102" s="212">
        <v>3.8</v>
      </c>
      <c r="E102" s="212">
        <v>1.6</v>
      </c>
      <c r="F102" s="212">
        <v>0.6</v>
      </c>
      <c r="G102" s="212"/>
      <c r="H102" s="212">
        <v>1</v>
      </c>
      <c r="I102" s="212">
        <f>D102*E102*F102*H102</f>
        <v>3.6479999999999997</v>
      </c>
      <c r="J102" s="224"/>
    </row>
    <row r="103" spans="1:10" s="220" customFormat="1" ht="18" customHeight="1">
      <c r="A103" s="731" t="str">
        <f>A86</f>
        <v>SAPATA P2 - MODELO PEGÃO 2</v>
      </c>
      <c r="B103" s="739"/>
      <c r="C103" s="215" t="str">
        <f>C77</f>
        <v>SAPATA 10,00X1,60m</v>
      </c>
      <c r="D103" s="212">
        <v>10</v>
      </c>
      <c r="E103" s="212">
        <v>1.6</v>
      </c>
      <c r="F103" s="212">
        <v>0.6</v>
      </c>
      <c r="G103" s="212"/>
      <c r="H103" s="212">
        <v>1</v>
      </c>
      <c r="I103" s="212">
        <f>D103*E103*F103*H103</f>
        <v>9.6</v>
      </c>
      <c r="J103" s="224"/>
    </row>
    <row r="104" spans="1:10" s="220" customFormat="1" ht="25.5" customHeight="1">
      <c r="A104" s="731" t="s">
        <v>397</v>
      </c>
      <c r="B104" s="739"/>
      <c r="C104" s="215"/>
      <c r="D104" s="212">
        <v>8</v>
      </c>
      <c r="E104" s="212"/>
      <c r="F104" s="212"/>
      <c r="G104" s="212">
        <v>7.0000000000000007E-2</v>
      </c>
      <c r="H104" s="212">
        <f>E58+E59</f>
        <v>11</v>
      </c>
      <c r="I104" s="212">
        <f>D104*G104*H104</f>
        <v>6.16</v>
      </c>
      <c r="J104" s="224"/>
    </row>
    <row r="105" spans="1:10" s="220" customFormat="1" ht="15.6">
      <c r="A105" s="700" t="s">
        <v>51</v>
      </c>
      <c r="B105" s="701"/>
      <c r="C105" s="701"/>
      <c r="D105" s="701"/>
      <c r="E105" s="701"/>
      <c r="F105" s="701"/>
      <c r="G105" s="701"/>
      <c r="H105" s="702"/>
      <c r="I105" s="213">
        <f>ROUND(I100+I101+I102+I103+I104,2)</f>
        <v>26.7</v>
      </c>
      <c r="J105" s="225"/>
    </row>
    <row r="106" spans="1:10" s="220" customFormat="1" ht="15.6">
      <c r="A106" s="221"/>
      <c r="J106" s="223"/>
    </row>
    <row r="107" spans="1:10" s="318" customFormat="1" ht="20.25" customHeight="1">
      <c r="A107" s="308" t="s">
        <v>157</v>
      </c>
      <c r="B107" s="309" t="s">
        <v>361</v>
      </c>
      <c r="C107" s="313"/>
      <c r="D107" s="692" t="s">
        <v>350</v>
      </c>
      <c r="E107" s="693"/>
      <c r="F107" s="693"/>
      <c r="G107" s="693"/>
      <c r="H107" s="693"/>
      <c r="I107" s="693"/>
      <c r="J107" s="694"/>
    </row>
    <row r="108" spans="1:10" s="318" customFormat="1" ht="15.75" customHeight="1">
      <c r="A108" s="308" t="s">
        <v>158</v>
      </c>
      <c r="B108" s="311"/>
      <c r="C108" s="315"/>
      <c r="D108" s="695"/>
      <c r="E108" s="696"/>
      <c r="F108" s="696"/>
      <c r="G108" s="696"/>
      <c r="H108" s="696"/>
      <c r="I108" s="696"/>
      <c r="J108" s="697"/>
    </row>
    <row r="109" spans="1:10" s="220" customFormat="1" ht="31.2">
      <c r="A109" s="709"/>
      <c r="B109" s="710"/>
      <c r="C109" s="207" t="s">
        <v>295</v>
      </c>
      <c r="D109" s="208" t="s">
        <v>303</v>
      </c>
      <c r="E109" s="208" t="s">
        <v>297</v>
      </c>
      <c r="F109" s="214" t="s">
        <v>298</v>
      </c>
      <c r="G109" s="207"/>
      <c r="H109" s="207"/>
      <c r="I109" s="210" t="s">
        <v>293</v>
      </c>
      <c r="J109" s="224"/>
    </row>
    <row r="110" spans="1:10" s="220" customFormat="1" ht="31.5" customHeight="1">
      <c r="A110" s="731" t="s">
        <v>304</v>
      </c>
      <c r="B110" s="739"/>
      <c r="C110" s="219"/>
      <c r="D110" s="217">
        <f>SUM(I49:I50,I51:I52)</f>
        <v>29.9</v>
      </c>
      <c r="E110" s="218">
        <f>SUM(I100:I103)</f>
        <v>20.544</v>
      </c>
      <c r="F110" s="218">
        <f>I78</f>
        <v>6.28</v>
      </c>
      <c r="G110" s="219"/>
      <c r="H110" s="219"/>
      <c r="I110" s="217">
        <f>D110-(E110+F110)</f>
        <v>3.075999999999997</v>
      </c>
      <c r="J110" s="225"/>
    </row>
    <row r="111" spans="1:10" s="220" customFormat="1" ht="15.6">
      <c r="A111" s="700" t="s">
        <v>51</v>
      </c>
      <c r="B111" s="701"/>
      <c r="C111" s="701"/>
      <c r="D111" s="701"/>
      <c r="E111" s="701"/>
      <c r="F111" s="701"/>
      <c r="G111" s="701"/>
      <c r="H111" s="702"/>
      <c r="I111" s="213">
        <f>ROUND(I110,2)</f>
        <v>3.08</v>
      </c>
      <c r="J111" s="225"/>
    </row>
    <row r="112" spans="1:10" s="220" customFormat="1" ht="15.6">
      <c r="A112" s="221"/>
      <c r="J112" s="223"/>
    </row>
    <row r="113" spans="1:256" s="318" customFormat="1" ht="15.6">
      <c r="A113" s="308" t="s">
        <v>157</v>
      </c>
      <c r="B113" s="309" t="s">
        <v>362</v>
      </c>
      <c r="C113" s="313"/>
      <c r="D113" s="741" t="s">
        <v>351</v>
      </c>
      <c r="E113" s="742"/>
      <c r="F113" s="742"/>
      <c r="G113" s="742"/>
      <c r="H113" s="742"/>
      <c r="I113" s="742"/>
      <c r="J113" s="743"/>
    </row>
    <row r="114" spans="1:256" s="318" customFormat="1" ht="15.6">
      <c r="A114" s="308" t="s">
        <v>158</v>
      </c>
      <c r="B114" s="311"/>
      <c r="C114" s="315"/>
      <c r="D114" s="744"/>
      <c r="E114" s="745"/>
      <c r="F114" s="745"/>
      <c r="G114" s="745"/>
      <c r="H114" s="745"/>
      <c r="I114" s="745"/>
      <c r="J114" s="746"/>
    </row>
    <row r="115" spans="1:256" s="220" customFormat="1" ht="31.2">
      <c r="A115" s="222"/>
      <c r="B115" s="206"/>
      <c r="C115" s="207"/>
      <c r="D115" s="208" t="s">
        <v>332</v>
      </c>
      <c r="E115" s="214" t="s">
        <v>331</v>
      </c>
      <c r="F115" s="209"/>
      <c r="G115" s="207"/>
      <c r="H115" s="207"/>
      <c r="I115" s="210" t="s">
        <v>302</v>
      </c>
      <c r="J115" s="224"/>
    </row>
    <row r="116" spans="1:256" s="220" customFormat="1" ht="15.6">
      <c r="A116" s="698"/>
      <c r="B116" s="699"/>
      <c r="C116" s="215"/>
      <c r="D116" s="212">
        <f>I111</f>
        <v>3.08</v>
      </c>
      <c r="E116" s="212">
        <v>25</v>
      </c>
      <c r="F116" s="212"/>
      <c r="G116" s="212"/>
      <c r="H116" s="212"/>
      <c r="I116" s="212">
        <f>D116*(1+E116%)</f>
        <v>3.85</v>
      </c>
      <c r="J116" s="224"/>
    </row>
    <row r="117" spans="1:256" s="220" customFormat="1" ht="15.6">
      <c r="A117" s="700" t="s">
        <v>51</v>
      </c>
      <c r="B117" s="701"/>
      <c r="C117" s="701"/>
      <c r="D117" s="701"/>
      <c r="E117" s="701"/>
      <c r="F117" s="701"/>
      <c r="G117" s="701"/>
      <c r="H117" s="702"/>
      <c r="I117" s="213">
        <f>ROUND(I116,2)</f>
        <v>3.85</v>
      </c>
      <c r="J117" s="225"/>
    </row>
    <row r="118" spans="1:256" s="220" customFormat="1" ht="15.6">
      <c r="A118" s="221"/>
      <c r="J118" s="223"/>
    </row>
    <row r="119" spans="1:256" s="306" customFormat="1" ht="15.6">
      <c r="A119" s="302" t="s">
        <v>101</v>
      </c>
      <c r="B119" s="690" t="s">
        <v>335</v>
      </c>
      <c r="C119" s="690"/>
      <c r="D119" s="690"/>
      <c r="E119" s="690"/>
      <c r="F119" s="690"/>
      <c r="G119" s="690"/>
      <c r="H119" s="690"/>
      <c r="I119" s="690"/>
      <c r="J119" s="691"/>
      <c r="K119" s="303"/>
      <c r="L119" s="304"/>
      <c r="M119" s="304"/>
      <c r="N119" s="304"/>
      <c r="O119" s="305"/>
      <c r="P119" s="304"/>
      <c r="Q119" s="304"/>
      <c r="R119" s="304"/>
      <c r="S119" s="304"/>
      <c r="T119" s="304"/>
      <c r="U119" s="304"/>
      <c r="V119" s="305"/>
      <c r="W119" s="304"/>
      <c r="X119" s="304"/>
      <c r="Y119" s="304"/>
      <c r="Z119" s="304"/>
      <c r="AA119" s="304"/>
      <c r="AB119" s="304"/>
      <c r="AC119" s="305"/>
      <c r="AD119" s="304"/>
      <c r="AE119" s="304"/>
      <c r="AF119" s="304"/>
      <c r="AG119" s="304"/>
      <c r="AH119" s="304"/>
      <c r="AI119" s="304"/>
      <c r="AJ119" s="305"/>
      <c r="AK119" s="304"/>
      <c r="AL119" s="304"/>
      <c r="AM119" s="304"/>
      <c r="AN119" s="304"/>
      <c r="AO119" s="304"/>
      <c r="AP119" s="304"/>
      <c r="AQ119" s="305"/>
      <c r="AR119" s="304"/>
      <c r="AS119" s="304"/>
      <c r="AT119" s="304"/>
      <c r="AU119" s="304"/>
      <c r="AV119" s="304"/>
      <c r="AW119" s="304"/>
      <c r="AX119" s="305"/>
      <c r="AY119" s="304"/>
      <c r="AZ119" s="304"/>
      <c r="BA119" s="304"/>
      <c r="BB119" s="304"/>
      <c r="BC119" s="304"/>
      <c r="BD119" s="304"/>
      <c r="BE119" s="305"/>
      <c r="BF119" s="304"/>
      <c r="BG119" s="304"/>
      <c r="BH119" s="304"/>
      <c r="BI119" s="304"/>
      <c r="BJ119" s="304"/>
      <c r="BK119" s="304"/>
      <c r="BL119" s="305"/>
      <c r="BM119" s="304"/>
      <c r="BN119" s="304"/>
      <c r="BO119" s="304"/>
      <c r="BP119" s="304"/>
      <c r="BQ119" s="304"/>
      <c r="BR119" s="304"/>
      <c r="BS119" s="305"/>
      <c r="BT119" s="304"/>
      <c r="BU119" s="304"/>
      <c r="BV119" s="304"/>
      <c r="BW119" s="304"/>
      <c r="BX119" s="304"/>
      <c r="BY119" s="304"/>
      <c r="BZ119" s="305"/>
      <c r="CA119" s="304"/>
      <c r="CB119" s="304"/>
      <c r="CC119" s="304"/>
      <c r="CD119" s="304"/>
      <c r="CE119" s="304"/>
      <c r="CF119" s="304"/>
      <c r="CG119" s="305"/>
      <c r="CH119" s="304"/>
      <c r="CI119" s="304"/>
      <c r="CJ119" s="304"/>
      <c r="CK119" s="304"/>
      <c r="CL119" s="304"/>
      <c r="CM119" s="304"/>
      <c r="CN119" s="305"/>
      <c r="CO119" s="304"/>
      <c r="CP119" s="304"/>
      <c r="CQ119" s="304"/>
      <c r="CR119" s="304"/>
      <c r="CS119" s="304"/>
      <c r="CT119" s="304"/>
      <c r="CU119" s="305"/>
      <c r="CV119" s="304"/>
      <c r="CW119" s="304"/>
      <c r="CX119" s="304"/>
      <c r="CY119" s="304"/>
      <c r="CZ119" s="304"/>
      <c r="DA119" s="304"/>
      <c r="DB119" s="305"/>
      <c r="DC119" s="304"/>
      <c r="DD119" s="304"/>
      <c r="DE119" s="304"/>
      <c r="DF119" s="304"/>
      <c r="DG119" s="304"/>
      <c r="DH119" s="304"/>
      <c r="DI119" s="305"/>
      <c r="DJ119" s="304"/>
      <c r="DK119" s="304"/>
      <c r="DL119" s="304"/>
      <c r="DM119" s="304"/>
      <c r="DN119" s="304"/>
      <c r="DO119" s="304"/>
      <c r="DP119" s="305"/>
      <c r="DQ119" s="304"/>
      <c r="DR119" s="304"/>
      <c r="DS119" s="304"/>
      <c r="DT119" s="304"/>
      <c r="DU119" s="304"/>
      <c r="DV119" s="304"/>
      <c r="DW119" s="305"/>
      <c r="DX119" s="304"/>
      <c r="DY119" s="304"/>
      <c r="DZ119" s="304"/>
      <c r="EA119" s="304"/>
      <c r="EB119" s="304"/>
      <c r="EC119" s="304"/>
      <c r="ED119" s="305"/>
      <c r="EE119" s="304"/>
      <c r="EF119" s="304"/>
      <c r="EG119" s="304"/>
      <c r="EH119" s="304"/>
      <c r="EI119" s="304"/>
      <c r="EJ119" s="304"/>
      <c r="EK119" s="305"/>
      <c r="EL119" s="304"/>
      <c r="EM119" s="304"/>
      <c r="EN119" s="304"/>
      <c r="EO119" s="304"/>
      <c r="EP119" s="304"/>
      <c r="EQ119" s="304"/>
      <c r="ER119" s="305"/>
      <c r="ES119" s="304"/>
      <c r="ET119" s="304"/>
      <c r="EU119" s="304"/>
      <c r="EV119" s="304"/>
      <c r="EW119" s="304"/>
      <c r="EX119" s="304"/>
      <c r="EY119" s="305"/>
      <c r="EZ119" s="304"/>
      <c r="FA119" s="304"/>
      <c r="FB119" s="304"/>
      <c r="FC119" s="304"/>
      <c r="FD119" s="304"/>
      <c r="FE119" s="304"/>
      <c r="FF119" s="305"/>
      <c r="FG119" s="304"/>
      <c r="FH119" s="304"/>
      <c r="FI119" s="304"/>
      <c r="FJ119" s="304"/>
      <c r="FK119" s="304"/>
      <c r="FL119" s="304"/>
      <c r="FM119" s="305"/>
      <c r="FN119" s="304"/>
      <c r="FO119" s="304"/>
      <c r="FP119" s="304"/>
      <c r="FQ119" s="304"/>
      <c r="FR119" s="304"/>
      <c r="FS119" s="304"/>
      <c r="FT119" s="305"/>
      <c r="FU119" s="304"/>
      <c r="FV119" s="304"/>
      <c r="FW119" s="304"/>
      <c r="FX119" s="304"/>
      <c r="FY119" s="304"/>
      <c r="FZ119" s="304"/>
      <c r="GA119" s="305"/>
      <c r="GB119" s="304"/>
      <c r="GC119" s="304"/>
      <c r="GD119" s="304"/>
      <c r="GE119" s="304"/>
      <c r="GF119" s="304"/>
      <c r="GG119" s="304"/>
      <c r="GH119" s="305"/>
      <c r="GI119" s="304"/>
      <c r="GJ119" s="304"/>
      <c r="GK119" s="304"/>
      <c r="GL119" s="304"/>
      <c r="GM119" s="304"/>
      <c r="GN119" s="304"/>
      <c r="GO119" s="305"/>
      <c r="GP119" s="304"/>
      <c r="GQ119" s="304"/>
      <c r="GR119" s="304"/>
      <c r="GS119" s="304"/>
      <c r="GT119" s="304"/>
      <c r="GU119" s="304"/>
      <c r="GV119" s="305"/>
      <c r="GW119" s="304"/>
      <c r="GX119" s="304"/>
      <c r="GY119" s="304"/>
      <c r="GZ119" s="304"/>
      <c r="HA119" s="304"/>
      <c r="HB119" s="304"/>
      <c r="HC119" s="305"/>
      <c r="HD119" s="304"/>
      <c r="HE119" s="304"/>
      <c r="HF119" s="304"/>
      <c r="HG119" s="304"/>
      <c r="HH119" s="304"/>
      <c r="HI119" s="304"/>
      <c r="HJ119" s="305"/>
      <c r="HK119" s="304"/>
      <c r="HL119" s="304"/>
      <c r="HM119" s="304"/>
      <c r="HN119" s="304"/>
      <c r="HO119" s="304"/>
      <c r="HP119" s="304"/>
      <c r="HQ119" s="305"/>
      <c r="HR119" s="304"/>
      <c r="HS119" s="304"/>
      <c r="HT119" s="304"/>
      <c r="HU119" s="304"/>
      <c r="HV119" s="304"/>
      <c r="HW119" s="304"/>
      <c r="HX119" s="305"/>
      <c r="HY119" s="304"/>
      <c r="HZ119" s="304"/>
      <c r="IA119" s="304"/>
      <c r="IB119" s="304"/>
      <c r="IC119" s="304"/>
      <c r="ID119" s="304"/>
      <c r="IE119" s="305"/>
      <c r="IF119" s="304"/>
      <c r="IG119" s="304"/>
      <c r="IH119" s="304"/>
      <c r="II119" s="304"/>
      <c r="IJ119" s="304"/>
      <c r="IK119" s="304"/>
      <c r="IL119" s="305"/>
      <c r="IM119" s="304"/>
      <c r="IN119" s="304"/>
      <c r="IO119" s="304"/>
      <c r="IP119" s="304"/>
      <c r="IQ119" s="304"/>
      <c r="IR119" s="304"/>
      <c r="IS119" s="305"/>
      <c r="IT119" s="304"/>
      <c r="IU119" s="304"/>
      <c r="IV119" s="304"/>
    </row>
    <row r="120" spans="1:256" s="220" customFormat="1" ht="15.6">
      <c r="A120" s="221"/>
      <c r="J120" s="223"/>
    </row>
    <row r="121" spans="1:256" s="318" customFormat="1" ht="15.6">
      <c r="A121" s="308" t="s">
        <v>157</v>
      </c>
      <c r="B121" s="309" t="s">
        <v>311</v>
      </c>
      <c r="C121" s="313"/>
      <c r="D121" s="751" t="s">
        <v>347</v>
      </c>
      <c r="E121" s="752"/>
      <c r="F121" s="752"/>
      <c r="G121" s="752"/>
      <c r="H121" s="752"/>
      <c r="I121" s="752"/>
      <c r="J121" s="753"/>
    </row>
    <row r="122" spans="1:256" s="318" customFormat="1" ht="24" customHeight="1">
      <c r="A122" s="308" t="s">
        <v>158</v>
      </c>
      <c r="B122" s="311"/>
      <c r="C122" s="315"/>
      <c r="D122" s="754"/>
      <c r="E122" s="755"/>
      <c r="F122" s="755"/>
      <c r="G122" s="755"/>
      <c r="H122" s="755"/>
      <c r="I122" s="755"/>
      <c r="J122" s="756"/>
    </row>
    <row r="123" spans="1:256" s="220" customFormat="1" ht="15.6">
      <c r="A123" s="698"/>
      <c r="B123" s="699"/>
      <c r="C123" s="207" t="s">
        <v>295</v>
      </c>
      <c r="D123" s="208" t="s">
        <v>409</v>
      </c>
      <c r="E123" s="214" t="s">
        <v>300</v>
      </c>
      <c r="F123" s="209" t="s">
        <v>292</v>
      </c>
      <c r="G123" s="216" t="s">
        <v>301</v>
      </c>
      <c r="H123" s="207" t="s">
        <v>338</v>
      </c>
      <c r="I123" s="210" t="s">
        <v>291</v>
      </c>
      <c r="J123" s="224"/>
    </row>
    <row r="124" spans="1:256" s="220" customFormat="1" ht="30.75" customHeight="1">
      <c r="A124" s="731" t="s">
        <v>398</v>
      </c>
      <c r="B124" s="739"/>
      <c r="C124" s="215" t="s">
        <v>402</v>
      </c>
      <c r="D124" s="212">
        <f>4.15+4.15+0.5+0.5</f>
        <v>9.3000000000000007</v>
      </c>
      <c r="E124" s="212">
        <v>3</v>
      </c>
      <c r="F124" s="212">
        <v>1</v>
      </c>
      <c r="G124" s="212">
        <v>1</v>
      </c>
      <c r="H124" s="212"/>
      <c r="I124" s="212">
        <f t="shared" ref="I124:I130" si="2">D124*E124*F124*G124</f>
        <v>27.900000000000002</v>
      </c>
      <c r="J124" s="224"/>
    </row>
    <row r="125" spans="1:256" s="220" customFormat="1" ht="30.75" customHeight="1">
      <c r="A125" s="731" t="s">
        <v>400</v>
      </c>
      <c r="B125" s="739"/>
      <c r="C125" s="215" t="s">
        <v>403</v>
      </c>
      <c r="D125" s="212">
        <f>2.75+0.5+2.75+0.5</f>
        <v>6.5</v>
      </c>
      <c r="E125" s="212">
        <v>3</v>
      </c>
      <c r="F125" s="212">
        <v>1</v>
      </c>
      <c r="G125" s="212">
        <v>1</v>
      </c>
      <c r="H125" s="212"/>
      <c r="I125" s="212">
        <f t="shared" si="2"/>
        <v>19.5</v>
      </c>
      <c r="J125" s="224"/>
    </row>
    <row r="126" spans="1:256" s="220" customFormat="1" ht="30.75" customHeight="1">
      <c r="A126" s="731" t="s">
        <v>399</v>
      </c>
      <c r="B126" s="739"/>
      <c r="C126" s="215" t="s">
        <v>407</v>
      </c>
      <c r="D126" s="212">
        <f>3.3+3.3+0.5+0.5</f>
        <v>7.6</v>
      </c>
      <c r="E126" s="212">
        <v>3</v>
      </c>
      <c r="F126" s="212">
        <v>1</v>
      </c>
      <c r="G126" s="212">
        <v>1</v>
      </c>
      <c r="H126" s="212"/>
      <c r="I126" s="212">
        <f t="shared" si="2"/>
        <v>22.799999999999997</v>
      </c>
      <c r="J126" s="224"/>
    </row>
    <row r="127" spans="1:256" s="220" customFormat="1" ht="30.75" customHeight="1">
      <c r="A127" s="731" t="s">
        <v>401</v>
      </c>
      <c r="B127" s="739"/>
      <c r="C127" s="215" t="s">
        <v>408</v>
      </c>
      <c r="D127" s="212">
        <f>10+10+0.5+0.5</f>
        <v>21</v>
      </c>
      <c r="E127" s="212">
        <v>3</v>
      </c>
      <c r="F127" s="212">
        <v>1</v>
      </c>
      <c r="G127" s="212">
        <v>1</v>
      </c>
      <c r="H127" s="212"/>
      <c r="I127" s="212">
        <f t="shared" si="2"/>
        <v>63</v>
      </c>
      <c r="J127" s="224"/>
    </row>
    <row r="128" spans="1:256" s="220" customFormat="1" ht="15.6">
      <c r="A128" s="698" t="s">
        <v>334</v>
      </c>
      <c r="B128" s="699"/>
      <c r="C128" s="215" t="s">
        <v>404</v>
      </c>
      <c r="D128" s="212">
        <v>18</v>
      </c>
      <c r="E128" s="212">
        <v>4.2</v>
      </c>
      <c r="F128" s="212">
        <v>1</v>
      </c>
      <c r="G128" s="212">
        <v>1</v>
      </c>
      <c r="H128" s="212"/>
      <c r="I128" s="212">
        <f t="shared" si="2"/>
        <v>75.600000000000009</v>
      </c>
      <c r="J128" s="224"/>
    </row>
    <row r="129" spans="1:10" s="220" customFormat="1" ht="15.6">
      <c r="A129" s="698" t="s">
        <v>337</v>
      </c>
      <c r="B129" s="699"/>
      <c r="C129" s="215" t="s">
        <v>405</v>
      </c>
      <c r="D129" s="212">
        <v>18</v>
      </c>
      <c r="E129" s="212">
        <v>0.21</v>
      </c>
      <c r="F129" s="212">
        <v>1</v>
      </c>
      <c r="G129" s="212">
        <v>2</v>
      </c>
      <c r="H129" s="212"/>
      <c r="I129" s="212">
        <f t="shared" si="2"/>
        <v>7.56</v>
      </c>
      <c r="J129" s="224"/>
    </row>
    <row r="130" spans="1:10" s="220" customFormat="1" ht="15.6">
      <c r="A130" s="698" t="s">
        <v>337</v>
      </c>
      <c r="B130" s="699"/>
      <c r="C130" s="215" t="s">
        <v>336</v>
      </c>
      <c r="D130" s="212">
        <v>4.2</v>
      </c>
      <c r="E130" s="212">
        <v>0.21</v>
      </c>
      <c r="F130" s="212">
        <v>1</v>
      </c>
      <c r="G130" s="212">
        <v>2</v>
      </c>
      <c r="H130" s="212"/>
      <c r="I130" s="212">
        <f t="shared" si="2"/>
        <v>1.764</v>
      </c>
      <c r="J130" s="224"/>
    </row>
    <row r="131" spans="1:10" s="220" customFormat="1" ht="15.6">
      <c r="A131" s="700" t="s">
        <v>51</v>
      </c>
      <c r="B131" s="701"/>
      <c r="C131" s="701"/>
      <c r="D131" s="701"/>
      <c r="E131" s="701"/>
      <c r="F131" s="701"/>
      <c r="G131" s="701"/>
      <c r="H131" s="702"/>
      <c r="I131" s="213">
        <f>ROUND(I124+I125+I126+I127+I128+I129+I130,2)</f>
        <v>218.12</v>
      </c>
      <c r="J131" s="225"/>
    </row>
    <row r="132" spans="1:10" s="220" customFormat="1" ht="15.6">
      <c r="A132" s="221"/>
      <c r="J132" s="223"/>
    </row>
    <row r="133" spans="1:10" s="318" customFormat="1" ht="15.6">
      <c r="A133" s="308" t="s">
        <v>157</v>
      </c>
      <c r="B133" s="309" t="s">
        <v>312</v>
      </c>
      <c r="C133" s="313"/>
      <c r="D133" s="692" t="s">
        <v>348</v>
      </c>
      <c r="E133" s="693"/>
      <c r="F133" s="693"/>
      <c r="G133" s="693"/>
      <c r="H133" s="693"/>
      <c r="I133" s="693"/>
      <c r="J133" s="694"/>
    </row>
    <row r="134" spans="1:10" s="318" customFormat="1" ht="15.6">
      <c r="A134" s="308" t="s">
        <v>158</v>
      </c>
      <c r="B134" s="311"/>
      <c r="C134" s="315"/>
      <c r="D134" s="695"/>
      <c r="E134" s="696"/>
      <c r="F134" s="696"/>
      <c r="G134" s="696"/>
      <c r="H134" s="696"/>
      <c r="I134" s="696"/>
      <c r="J134" s="697"/>
    </row>
    <row r="135" spans="1:10" s="220" customFormat="1" ht="15.6">
      <c r="A135" s="698"/>
      <c r="B135" s="699"/>
      <c r="C135" s="207"/>
      <c r="D135" s="208" t="s">
        <v>326</v>
      </c>
      <c r="E135" s="208"/>
      <c r="F135" s="207"/>
      <c r="G135" s="207"/>
      <c r="H135" s="207"/>
      <c r="I135" s="210" t="s">
        <v>299</v>
      </c>
      <c r="J135" s="224"/>
    </row>
    <row r="136" spans="1:10" s="220" customFormat="1" ht="16.5" customHeight="1">
      <c r="A136" s="698" t="s">
        <v>386</v>
      </c>
      <c r="B136" s="699"/>
      <c r="C136" s="228"/>
      <c r="D136" s="212">
        <v>938</v>
      </c>
      <c r="E136" s="212"/>
      <c r="F136" s="212"/>
      <c r="G136" s="212"/>
      <c r="H136" s="212"/>
      <c r="I136" s="212">
        <f>D136</f>
        <v>938</v>
      </c>
      <c r="J136" s="224"/>
    </row>
    <row r="137" spans="1:10" s="220" customFormat="1" ht="16.5" customHeight="1">
      <c r="A137" s="237" t="s">
        <v>387</v>
      </c>
      <c r="B137" s="238"/>
      <c r="C137" s="228"/>
      <c r="D137" s="212">
        <v>1521</v>
      </c>
      <c r="E137" s="212"/>
      <c r="F137" s="212"/>
      <c r="G137" s="212"/>
      <c r="H137" s="212"/>
      <c r="I137" s="212">
        <f>D137</f>
        <v>1521</v>
      </c>
      <c r="J137" s="224"/>
    </row>
    <row r="138" spans="1:10" s="220" customFormat="1" ht="16.5" customHeight="1">
      <c r="A138" s="698" t="s">
        <v>406</v>
      </c>
      <c r="B138" s="699"/>
      <c r="C138" s="228"/>
      <c r="D138" s="345">
        <v>1145.5999999999999</v>
      </c>
      <c r="E138" s="212"/>
      <c r="F138" s="212"/>
      <c r="G138" s="212"/>
      <c r="H138" s="212"/>
      <c r="I138" s="212">
        <f>D138</f>
        <v>1145.5999999999999</v>
      </c>
      <c r="J138" s="224"/>
    </row>
    <row r="139" spans="1:10" s="220" customFormat="1" ht="15.6">
      <c r="A139" s="700" t="s">
        <v>51</v>
      </c>
      <c r="B139" s="701"/>
      <c r="C139" s="701"/>
      <c r="D139" s="701"/>
      <c r="E139" s="701"/>
      <c r="F139" s="701"/>
      <c r="G139" s="701"/>
      <c r="H139" s="702"/>
      <c r="I139" s="213">
        <f>ROUND(I136+I137+I138,2)</f>
        <v>3604.6</v>
      </c>
      <c r="J139" s="225"/>
    </row>
    <row r="140" spans="1:10" s="220" customFormat="1" ht="15.6">
      <c r="A140" s="221"/>
      <c r="J140" s="223"/>
    </row>
    <row r="141" spans="1:10" s="318" customFormat="1" ht="15.6">
      <c r="A141" s="308" t="s">
        <v>157</v>
      </c>
      <c r="B141" s="309" t="s">
        <v>313</v>
      </c>
      <c r="C141" s="313"/>
      <c r="D141" s="692" t="s">
        <v>349</v>
      </c>
      <c r="E141" s="693"/>
      <c r="F141" s="693"/>
      <c r="G141" s="693"/>
      <c r="H141" s="693"/>
      <c r="I141" s="693"/>
      <c r="J141" s="694"/>
    </row>
    <row r="142" spans="1:10" s="318" customFormat="1" ht="15.6">
      <c r="A142" s="308" t="s">
        <v>158</v>
      </c>
      <c r="B142" s="311"/>
      <c r="C142" s="315"/>
      <c r="D142" s="695"/>
      <c r="E142" s="696"/>
      <c r="F142" s="696"/>
      <c r="G142" s="696"/>
      <c r="H142" s="696"/>
      <c r="I142" s="696"/>
      <c r="J142" s="697"/>
    </row>
    <row r="143" spans="1:10" s="220" customFormat="1" ht="15.6">
      <c r="A143" s="698"/>
      <c r="B143" s="699"/>
      <c r="C143" s="207" t="s">
        <v>295</v>
      </c>
      <c r="D143" s="208" t="s">
        <v>329</v>
      </c>
      <c r="E143" s="214" t="s">
        <v>328</v>
      </c>
      <c r="F143" s="214" t="s">
        <v>327</v>
      </c>
      <c r="G143" s="207" t="s">
        <v>292</v>
      </c>
      <c r="H143" s="207" t="s">
        <v>338</v>
      </c>
      <c r="I143" s="210" t="s">
        <v>293</v>
      </c>
      <c r="J143" s="224"/>
    </row>
    <row r="144" spans="1:10" s="220" customFormat="1" ht="30.75" customHeight="1">
      <c r="A144" s="731" t="str">
        <f>A124</f>
        <v>PILAR P1 - MODELO PEGÃO 1</v>
      </c>
      <c r="B144" s="739"/>
      <c r="C144" s="215" t="str">
        <f>C124</f>
        <v>PILAR 4,15X0,50</v>
      </c>
      <c r="D144" s="212">
        <v>4.1500000000000004</v>
      </c>
      <c r="E144" s="212">
        <v>0.5</v>
      </c>
      <c r="F144" s="212">
        <v>3</v>
      </c>
      <c r="G144" s="212">
        <v>1</v>
      </c>
      <c r="H144" s="212"/>
      <c r="I144" s="212">
        <f>D144*E144*F144*G144</f>
        <v>6.2250000000000005</v>
      </c>
      <c r="J144" s="224"/>
    </row>
    <row r="145" spans="1:10" s="220" customFormat="1" ht="15.6">
      <c r="A145" s="731" t="str">
        <f>A125</f>
        <v>PILAR P2 - MODELO PEGÃO 1</v>
      </c>
      <c r="B145" s="739"/>
      <c r="C145" s="215" t="str">
        <f>C125</f>
        <v>PILAR 2,75X0,50</v>
      </c>
      <c r="D145" s="212">
        <v>2.75</v>
      </c>
      <c r="E145" s="212">
        <v>0.5</v>
      </c>
      <c r="F145" s="212">
        <v>3</v>
      </c>
      <c r="G145" s="212">
        <v>1</v>
      </c>
      <c r="H145" s="212"/>
      <c r="I145" s="212">
        <f>D145*E145*F145*G145</f>
        <v>4.125</v>
      </c>
      <c r="J145" s="224"/>
    </row>
    <row r="146" spans="1:10" s="220" customFormat="1" ht="15.6">
      <c r="A146" s="731" t="str">
        <f>A126</f>
        <v>PILAR P1 - MODELO PEGÃO 2</v>
      </c>
      <c r="B146" s="739"/>
      <c r="C146" s="215" t="str">
        <f>C126</f>
        <v>PILAR 3,30X0,50</v>
      </c>
      <c r="D146" s="230">
        <v>3.3</v>
      </c>
      <c r="E146" s="230">
        <v>0.5</v>
      </c>
      <c r="F146" s="230">
        <v>3</v>
      </c>
      <c r="G146" s="230">
        <v>1</v>
      </c>
      <c r="H146" s="230"/>
      <c r="I146" s="212">
        <f>D146*E146*F146*G146</f>
        <v>4.9499999999999993</v>
      </c>
      <c r="J146" s="224"/>
    </row>
    <row r="147" spans="1:10" s="220" customFormat="1" ht="15.6">
      <c r="A147" s="731" t="str">
        <f>A127</f>
        <v>PILAR P2 - MODELO PEGÃO 2</v>
      </c>
      <c r="B147" s="739"/>
      <c r="C147" s="215" t="str">
        <f>C127</f>
        <v>PILAR 10X0,50</v>
      </c>
      <c r="D147" s="230">
        <v>10</v>
      </c>
      <c r="E147" s="230">
        <v>0.5</v>
      </c>
      <c r="F147" s="230">
        <v>3</v>
      </c>
      <c r="G147" s="230">
        <v>1</v>
      </c>
      <c r="H147" s="230"/>
      <c r="I147" s="212">
        <f>D147*E147*F147*G147</f>
        <v>15</v>
      </c>
      <c r="J147" s="224"/>
    </row>
    <row r="148" spans="1:10" s="220" customFormat="1" ht="15.6">
      <c r="A148" s="700" t="s">
        <v>51</v>
      </c>
      <c r="B148" s="701"/>
      <c r="C148" s="701"/>
      <c r="D148" s="701"/>
      <c r="E148" s="701"/>
      <c r="F148" s="701"/>
      <c r="G148" s="701"/>
      <c r="H148" s="702"/>
      <c r="I148" s="213">
        <f>ROUND(I144+I145+I146+I147,2)</f>
        <v>30.3</v>
      </c>
      <c r="J148" s="225"/>
    </row>
    <row r="149" spans="1:10" s="220" customFormat="1" ht="15.6">
      <c r="A149" s="221"/>
      <c r="J149" s="223"/>
    </row>
    <row r="150" spans="1:10" s="318" customFormat="1" ht="15.6">
      <c r="A150" s="308" t="s">
        <v>157</v>
      </c>
      <c r="B150" s="309" t="s">
        <v>314</v>
      </c>
      <c r="C150" s="313"/>
      <c r="D150" s="692" t="s">
        <v>352</v>
      </c>
      <c r="E150" s="693"/>
      <c r="F150" s="693"/>
      <c r="G150" s="693"/>
      <c r="H150" s="693"/>
      <c r="I150" s="693"/>
      <c r="J150" s="694"/>
    </row>
    <row r="151" spans="1:10" s="318" customFormat="1" ht="15.6">
      <c r="A151" s="308" t="s">
        <v>158</v>
      </c>
      <c r="B151" s="311"/>
      <c r="C151" s="315"/>
      <c r="D151" s="695"/>
      <c r="E151" s="696"/>
      <c r="F151" s="696"/>
      <c r="G151" s="696"/>
      <c r="H151" s="696"/>
      <c r="I151" s="696"/>
      <c r="J151" s="697"/>
    </row>
    <row r="152" spans="1:10" s="220" customFormat="1" ht="15.6">
      <c r="A152" s="698"/>
      <c r="B152" s="699"/>
      <c r="C152" s="207" t="s">
        <v>295</v>
      </c>
      <c r="D152" s="208" t="s">
        <v>329</v>
      </c>
      <c r="E152" s="214" t="s">
        <v>328</v>
      </c>
      <c r="F152" s="214" t="s">
        <v>327</v>
      </c>
      <c r="G152" s="207" t="s">
        <v>330</v>
      </c>
      <c r="H152" s="207" t="s">
        <v>292</v>
      </c>
      <c r="I152" s="210" t="s">
        <v>293</v>
      </c>
      <c r="J152" s="224"/>
    </row>
    <row r="153" spans="1:10" s="220" customFormat="1" ht="15.6">
      <c r="A153" s="698" t="s">
        <v>410</v>
      </c>
      <c r="B153" s="699"/>
      <c r="C153" s="215" t="s">
        <v>404</v>
      </c>
      <c r="D153" s="212">
        <v>18</v>
      </c>
      <c r="E153" s="212">
        <v>4.2</v>
      </c>
      <c r="F153" s="212">
        <v>0.21</v>
      </c>
      <c r="G153" s="212"/>
      <c r="H153" s="212"/>
      <c r="I153" s="212">
        <f>D153*E153*F153</f>
        <v>15.876000000000001</v>
      </c>
      <c r="J153" s="224"/>
    </row>
    <row r="154" spans="1:10" s="220" customFormat="1" ht="15.6">
      <c r="A154" s="700" t="s">
        <v>51</v>
      </c>
      <c r="B154" s="701"/>
      <c r="C154" s="701"/>
      <c r="D154" s="701"/>
      <c r="E154" s="701"/>
      <c r="F154" s="701"/>
      <c r="G154" s="701"/>
      <c r="H154" s="702"/>
      <c r="I154" s="213">
        <f>ROUND(I153,2)</f>
        <v>15.88</v>
      </c>
      <c r="J154" s="225"/>
    </row>
    <row r="155" spans="1:10" s="220" customFormat="1" ht="15.6">
      <c r="A155" s="221"/>
      <c r="J155" s="223"/>
    </row>
    <row r="156" spans="1:10" s="318" customFormat="1" ht="15.6">
      <c r="A156" s="308" t="s">
        <v>157</v>
      </c>
      <c r="B156" s="309" t="s">
        <v>315</v>
      </c>
      <c r="C156" s="313"/>
      <c r="D156" s="692" t="s">
        <v>353</v>
      </c>
      <c r="E156" s="693"/>
      <c r="F156" s="693"/>
      <c r="G156" s="693"/>
      <c r="H156" s="693"/>
      <c r="I156" s="693"/>
      <c r="J156" s="694"/>
    </row>
    <row r="157" spans="1:10" s="318" customFormat="1" ht="18.75" customHeight="1">
      <c r="A157" s="308" t="s">
        <v>158</v>
      </c>
      <c r="B157" s="311"/>
      <c r="C157" s="315"/>
      <c r="D157" s="695"/>
      <c r="E157" s="696"/>
      <c r="F157" s="696"/>
      <c r="G157" s="696"/>
      <c r="H157" s="696"/>
      <c r="I157" s="696"/>
      <c r="J157" s="697"/>
    </row>
    <row r="158" spans="1:10" s="220" customFormat="1" ht="31.5" customHeight="1">
      <c r="A158" s="698"/>
      <c r="B158" s="699"/>
      <c r="C158" s="207" t="s">
        <v>295</v>
      </c>
      <c r="D158" s="208" t="s">
        <v>329</v>
      </c>
      <c r="E158" s="214" t="s">
        <v>328</v>
      </c>
      <c r="F158" s="214" t="s">
        <v>327</v>
      </c>
      <c r="G158" s="209" t="s">
        <v>292</v>
      </c>
      <c r="H158" s="207"/>
      <c r="I158" s="210" t="s">
        <v>339</v>
      </c>
      <c r="J158" s="224"/>
    </row>
    <row r="159" spans="1:10" s="220" customFormat="1" ht="15.6">
      <c r="A159" s="698"/>
      <c r="B159" s="699"/>
      <c r="C159" s="215"/>
      <c r="D159" s="212">
        <v>0.45</v>
      </c>
      <c r="E159" s="212">
        <v>0.35</v>
      </c>
      <c r="F159" s="212">
        <v>0.05</v>
      </c>
      <c r="G159" s="212">
        <v>6</v>
      </c>
      <c r="H159" s="212"/>
      <c r="I159" s="212">
        <f>D159*E159*F159*G159*100</f>
        <v>4.7249999999999996</v>
      </c>
      <c r="J159" s="224"/>
    </row>
    <row r="160" spans="1:10" s="220" customFormat="1" ht="15.6">
      <c r="A160" s="700" t="s">
        <v>51</v>
      </c>
      <c r="B160" s="701"/>
      <c r="C160" s="701"/>
      <c r="D160" s="701"/>
      <c r="E160" s="701"/>
      <c r="F160" s="701"/>
      <c r="G160" s="701"/>
      <c r="H160" s="702"/>
      <c r="I160" s="213">
        <f>ROUND(I159,2)</f>
        <v>4.7300000000000004</v>
      </c>
      <c r="J160" s="225"/>
    </row>
    <row r="161" spans="1:256" s="220" customFormat="1" ht="15.6">
      <c r="A161" s="221"/>
      <c r="J161" s="223"/>
    </row>
    <row r="162" spans="1:256" s="306" customFormat="1" ht="15.6">
      <c r="A162" s="302" t="s">
        <v>305</v>
      </c>
      <c r="B162" s="690" t="s">
        <v>333</v>
      </c>
      <c r="C162" s="690"/>
      <c r="D162" s="690"/>
      <c r="E162" s="690"/>
      <c r="F162" s="690"/>
      <c r="G162" s="690"/>
      <c r="H162" s="690"/>
      <c r="I162" s="690"/>
      <c r="J162" s="691"/>
      <c r="K162" s="303"/>
      <c r="L162" s="304"/>
      <c r="M162" s="304"/>
      <c r="N162" s="304"/>
      <c r="O162" s="305"/>
      <c r="P162" s="304"/>
      <c r="Q162" s="304"/>
      <c r="R162" s="304"/>
      <c r="S162" s="304"/>
      <c r="T162" s="304"/>
      <c r="U162" s="304"/>
      <c r="V162" s="305"/>
      <c r="W162" s="304"/>
      <c r="X162" s="304"/>
      <c r="Y162" s="304"/>
      <c r="Z162" s="304"/>
      <c r="AA162" s="304"/>
      <c r="AB162" s="304"/>
      <c r="AC162" s="305"/>
      <c r="AD162" s="304"/>
      <c r="AE162" s="304"/>
      <c r="AF162" s="304"/>
      <c r="AG162" s="304"/>
      <c r="AH162" s="304"/>
      <c r="AI162" s="304"/>
      <c r="AJ162" s="305"/>
      <c r="AK162" s="304"/>
      <c r="AL162" s="304"/>
      <c r="AM162" s="304"/>
      <c r="AN162" s="304"/>
      <c r="AO162" s="304"/>
      <c r="AP162" s="304"/>
      <c r="AQ162" s="305"/>
      <c r="AR162" s="304"/>
      <c r="AS162" s="304"/>
      <c r="AT162" s="304"/>
      <c r="AU162" s="304"/>
      <c r="AV162" s="304"/>
      <c r="AW162" s="304"/>
      <c r="AX162" s="305"/>
      <c r="AY162" s="304"/>
      <c r="AZ162" s="304"/>
      <c r="BA162" s="304"/>
      <c r="BB162" s="304"/>
      <c r="BC162" s="304"/>
      <c r="BD162" s="304"/>
      <c r="BE162" s="305"/>
      <c r="BF162" s="304"/>
      <c r="BG162" s="304"/>
      <c r="BH162" s="304"/>
      <c r="BI162" s="304"/>
      <c r="BJ162" s="304"/>
      <c r="BK162" s="304"/>
      <c r="BL162" s="305"/>
      <c r="BM162" s="304"/>
      <c r="BN162" s="304"/>
      <c r="BO162" s="304"/>
      <c r="BP162" s="304"/>
      <c r="BQ162" s="304"/>
      <c r="BR162" s="304"/>
      <c r="BS162" s="305"/>
      <c r="BT162" s="304"/>
      <c r="BU162" s="304"/>
      <c r="BV162" s="304"/>
      <c r="BW162" s="304"/>
      <c r="BX162" s="304"/>
      <c r="BY162" s="304"/>
      <c r="BZ162" s="305"/>
      <c r="CA162" s="304"/>
      <c r="CB162" s="304"/>
      <c r="CC162" s="304"/>
      <c r="CD162" s="304"/>
      <c r="CE162" s="304"/>
      <c r="CF162" s="304"/>
      <c r="CG162" s="305"/>
      <c r="CH162" s="304"/>
      <c r="CI162" s="304"/>
      <c r="CJ162" s="304"/>
      <c r="CK162" s="304"/>
      <c r="CL162" s="304"/>
      <c r="CM162" s="304"/>
      <c r="CN162" s="305"/>
      <c r="CO162" s="304"/>
      <c r="CP162" s="304"/>
      <c r="CQ162" s="304"/>
      <c r="CR162" s="304"/>
      <c r="CS162" s="304"/>
      <c r="CT162" s="304"/>
      <c r="CU162" s="305"/>
      <c r="CV162" s="304"/>
      <c r="CW162" s="304"/>
      <c r="CX162" s="304"/>
      <c r="CY162" s="304"/>
      <c r="CZ162" s="304"/>
      <c r="DA162" s="304"/>
      <c r="DB162" s="305"/>
      <c r="DC162" s="304"/>
      <c r="DD162" s="304"/>
      <c r="DE162" s="304"/>
      <c r="DF162" s="304"/>
      <c r="DG162" s="304"/>
      <c r="DH162" s="304"/>
      <c r="DI162" s="305"/>
      <c r="DJ162" s="304"/>
      <c r="DK162" s="304"/>
      <c r="DL162" s="304"/>
      <c r="DM162" s="304"/>
      <c r="DN162" s="304"/>
      <c r="DO162" s="304"/>
      <c r="DP162" s="305"/>
      <c r="DQ162" s="304"/>
      <c r="DR162" s="304"/>
      <c r="DS162" s="304"/>
      <c r="DT162" s="304"/>
      <c r="DU162" s="304"/>
      <c r="DV162" s="304"/>
      <c r="DW162" s="305"/>
      <c r="DX162" s="304"/>
      <c r="DY162" s="304"/>
      <c r="DZ162" s="304"/>
      <c r="EA162" s="304"/>
      <c r="EB162" s="304"/>
      <c r="EC162" s="304"/>
      <c r="ED162" s="305"/>
      <c r="EE162" s="304"/>
      <c r="EF162" s="304"/>
      <c r="EG162" s="304"/>
      <c r="EH162" s="304"/>
      <c r="EI162" s="304"/>
      <c r="EJ162" s="304"/>
      <c r="EK162" s="305"/>
      <c r="EL162" s="304"/>
      <c r="EM162" s="304"/>
      <c r="EN162" s="304"/>
      <c r="EO162" s="304"/>
      <c r="EP162" s="304"/>
      <c r="EQ162" s="304"/>
      <c r="ER162" s="305"/>
      <c r="ES162" s="304"/>
      <c r="ET162" s="304"/>
      <c r="EU162" s="304"/>
      <c r="EV162" s="304"/>
      <c r="EW162" s="304"/>
      <c r="EX162" s="304"/>
      <c r="EY162" s="305"/>
      <c r="EZ162" s="304"/>
      <c r="FA162" s="304"/>
      <c r="FB162" s="304"/>
      <c r="FC162" s="304"/>
      <c r="FD162" s="304"/>
      <c r="FE162" s="304"/>
      <c r="FF162" s="305"/>
      <c r="FG162" s="304"/>
      <c r="FH162" s="304"/>
      <c r="FI162" s="304"/>
      <c r="FJ162" s="304"/>
      <c r="FK162" s="304"/>
      <c r="FL162" s="304"/>
      <c r="FM162" s="305"/>
      <c r="FN162" s="304"/>
      <c r="FO162" s="304"/>
      <c r="FP162" s="304"/>
      <c r="FQ162" s="304"/>
      <c r="FR162" s="304"/>
      <c r="FS162" s="304"/>
      <c r="FT162" s="305"/>
      <c r="FU162" s="304"/>
      <c r="FV162" s="304"/>
      <c r="FW162" s="304"/>
      <c r="FX162" s="304"/>
      <c r="FY162" s="304"/>
      <c r="FZ162" s="304"/>
      <c r="GA162" s="305"/>
      <c r="GB162" s="304"/>
      <c r="GC162" s="304"/>
      <c r="GD162" s="304"/>
      <c r="GE162" s="304"/>
      <c r="GF162" s="304"/>
      <c r="GG162" s="304"/>
      <c r="GH162" s="305"/>
      <c r="GI162" s="304"/>
      <c r="GJ162" s="304"/>
      <c r="GK162" s="304"/>
      <c r="GL162" s="304"/>
      <c r="GM162" s="304"/>
      <c r="GN162" s="304"/>
      <c r="GO162" s="305"/>
      <c r="GP162" s="304"/>
      <c r="GQ162" s="304"/>
      <c r="GR162" s="304"/>
      <c r="GS162" s="304"/>
      <c r="GT162" s="304"/>
      <c r="GU162" s="304"/>
      <c r="GV162" s="305"/>
      <c r="GW162" s="304"/>
      <c r="GX162" s="304"/>
      <c r="GY162" s="304"/>
      <c r="GZ162" s="304"/>
      <c r="HA162" s="304"/>
      <c r="HB162" s="304"/>
      <c r="HC162" s="305"/>
      <c r="HD162" s="304"/>
      <c r="HE162" s="304"/>
      <c r="HF162" s="304"/>
      <c r="HG162" s="304"/>
      <c r="HH162" s="304"/>
      <c r="HI162" s="304"/>
      <c r="HJ162" s="305"/>
      <c r="HK162" s="304"/>
      <c r="HL162" s="304"/>
      <c r="HM162" s="304"/>
      <c r="HN162" s="304"/>
      <c r="HO162" s="304"/>
      <c r="HP162" s="304"/>
      <c r="HQ162" s="305"/>
      <c r="HR162" s="304"/>
      <c r="HS162" s="304"/>
      <c r="HT162" s="304"/>
      <c r="HU162" s="304"/>
      <c r="HV162" s="304"/>
      <c r="HW162" s="304"/>
      <c r="HX162" s="305"/>
      <c r="HY162" s="304"/>
      <c r="HZ162" s="304"/>
      <c r="IA162" s="304"/>
      <c r="IB162" s="304"/>
      <c r="IC162" s="304"/>
      <c r="ID162" s="304"/>
      <c r="IE162" s="305"/>
      <c r="IF162" s="304"/>
      <c r="IG162" s="304"/>
      <c r="IH162" s="304"/>
      <c r="II162" s="304"/>
      <c r="IJ162" s="304"/>
      <c r="IK162" s="304"/>
      <c r="IL162" s="305"/>
      <c r="IM162" s="304"/>
      <c r="IN162" s="304"/>
      <c r="IO162" s="304"/>
      <c r="IP162" s="304"/>
      <c r="IQ162" s="304"/>
      <c r="IR162" s="304"/>
      <c r="IS162" s="305"/>
      <c r="IT162" s="304"/>
      <c r="IU162" s="304"/>
      <c r="IV162" s="304"/>
    </row>
    <row r="163" spans="1:256" s="220" customFormat="1" ht="15.6">
      <c r="A163" s="221"/>
      <c r="J163" s="223"/>
    </row>
    <row r="164" spans="1:256" s="318" customFormat="1" ht="15.6">
      <c r="A164" s="308" t="s">
        <v>157</v>
      </c>
      <c r="B164" s="309" t="s">
        <v>316</v>
      </c>
      <c r="C164" s="313"/>
      <c r="D164" s="692" t="str">
        <f>'PLANILHA '!C33</f>
        <v>FORNECIMENTO DE ESTRUTURA METÁLICA EM PERFIL LAMINADO, INCLUSIVE FABRICAÇÃO, TRANSPORTE, MONTAGEM E APLICAÇÃO DE FUNDO PREPARADOR ANTICORROSIVO EM SUPERFÍCIE METÁLICA, UMA (1) DEMÃO</v>
      </c>
      <c r="E164" s="693"/>
      <c r="F164" s="693"/>
      <c r="G164" s="693"/>
      <c r="H164" s="693"/>
      <c r="I164" s="693"/>
      <c r="J164" s="694"/>
    </row>
    <row r="165" spans="1:256" s="318" customFormat="1" ht="15.6">
      <c r="A165" s="308" t="s">
        <v>158</v>
      </c>
      <c r="B165" s="311"/>
      <c r="C165" s="315"/>
      <c r="D165" s="695"/>
      <c r="E165" s="696"/>
      <c r="F165" s="696"/>
      <c r="G165" s="696"/>
      <c r="H165" s="696"/>
      <c r="I165" s="696"/>
      <c r="J165" s="697"/>
    </row>
    <row r="166" spans="1:256" s="220" customFormat="1" ht="31.5" customHeight="1">
      <c r="A166" s="698"/>
      <c r="B166" s="699"/>
      <c r="C166" s="207" t="s">
        <v>295</v>
      </c>
      <c r="D166" s="208" t="s">
        <v>329</v>
      </c>
      <c r="E166" s="214" t="s">
        <v>363</v>
      </c>
      <c r="F166" s="214" t="s">
        <v>159</v>
      </c>
      <c r="G166" s="214"/>
      <c r="H166" s="209"/>
      <c r="I166" s="210" t="s">
        <v>342</v>
      </c>
      <c r="J166" s="224"/>
    </row>
    <row r="167" spans="1:256" s="220" customFormat="1" ht="31.5" customHeight="1">
      <c r="A167" s="237" t="s">
        <v>373</v>
      </c>
      <c r="B167" s="238"/>
      <c r="C167" s="231"/>
      <c r="D167" s="234">
        <v>18</v>
      </c>
      <c r="E167" s="235">
        <v>140</v>
      </c>
      <c r="F167" s="235">
        <v>3</v>
      </c>
      <c r="G167" s="232"/>
      <c r="H167" s="233"/>
      <c r="I167" s="212">
        <f>D167*E167*F167</f>
        <v>7560</v>
      </c>
      <c r="J167" s="224"/>
    </row>
    <row r="168" spans="1:256" s="220" customFormat="1" ht="15.6">
      <c r="A168" s="698" t="s">
        <v>364</v>
      </c>
      <c r="B168" s="699"/>
      <c r="C168" s="215"/>
      <c r="D168" s="212">
        <v>2.6</v>
      </c>
      <c r="E168" s="212">
        <v>22.3</v>
      </c>
      <c r="F168" s="212">
        <v>4</v>
      </c>
      <c r="G168" s="212"/>
      <c r="H168" s="212"/>
      <c r="I168" s="212">
        <f>D168*E168*F168</f>
        <v>231.92000000000002</v>
      </c>
      <c r="J168" s="224"/>
    </row>
    <row r="169" spans="1:256" s="220" customFormat="1" ht="15.6">
      <c r="A169" s="698" t="s">
        <v>365</v>
      </c>
      <c r="B169" s="699"/>
      <c r="C169" s="215"/>
      <c r="D169" s="212">
        <v>2.6</v>
      </c>
      <c r="E169" s="212">
        <v>8</v>
      </c>
      <c r="F169" s="212">
        <v>70</v>
      </c>
      <c r="G169" s="212"/>
      <c r="H169" s="212"/>
      <c r="I169" s="212">
        <f>D169*E169*F169</f>
        <v>1456</v>
      </c>
      <c r="J169" s="224"/>
    </row>
    <row r="170" spans="1:256" s="220" customFormat="1" ht="15.6">
      <c r="A170" s="700" t="s">
        <v>51</v>
      </c>
      <c r="B170" s="701"/>
      <c r="C170" s="701"/>
      <c r="D170" s="701"/>
      <c r="E170" s="701"/>
      <c r="F170" s="701"/>
      <c r="G170" s="701"/>
      <c r="H170" s="702"/>
      <c r="I170" s="213">
        <f>ROUND(I167+I168+I169,2)</f>
        <v>9247.92</v>
      </c>
      <c r="J170" s="225"/>
    </row>
    <row r="171" spans="1:256" s="220" customFormat="1" ht="15.6">
      <c r="A171" s="221"/>
      <c r="J171" s="223"/>
    </row>
    <row r="172" spans="1:256" s="318" customFormat="1" ht="15.6">
      <c r="A172" s="308" t="s">
        <v>157</v>
      </c>
      <c r="B172" s="309" t="s">
        <v>317</v>
      </c>
      <c r="C172" s="313"/>
      <c r="D172" s="692" t="s">
        <v>341</v>
      </c>
      <c r="E172" s="693"/>
      <c r="F172" s="693"/>
      <c r="G172" s="693"/>
      <c r="H172" s="693"/>
      <c r="I172" s="693"/>
      <c r="J172" s="694"/>
    </row>
    <row r="173" spans="1:256" s="318" customFormat="1" ht="40.5" customHeight="1">
      <c r="A173" s="308" t="s">
        <v>158</v>
      </c>
      <c r="B173" s="311"/>
      <c r="C173" s="315"/>
      <c r="D173" s="695"/>
      <c r="E173" s="696"/>
      <c r="F173" s="696"/>
      <c r="G173" s="696"/>
      <c r="H173" s="696"/>
      <c r="I173" s="696"/>
      <c r="J173" s="697"/>
    </row>
    <row r="174" spans="1:256" s="220" customFormat="1" ht="31.5" customHeight="1">
      <c r="A174" s="698"/>
      <c r="B174" s="699"/>
      <c r="C174" s="207" t="s">
        <v>295</v>
      </c>
      <c r="D174" s="208" t="s">
        <v>340</v>
      </c>
      <c r="E174" s="214"/>
      <c r="F174" s="214"/>
      <c r="G174" s="209"/>
      <c r="H174" s="207"/>
      <c r="I174" s="210" t="s">
        <v>342</v>
      </c>
      <c r="J174" s="224"/>
    </row>
    <row r="175" spans="1:256" s="220" customFormat="1" ht="31.5" customHeight="1">
      <c r="A175" s="698" t="str">
        <f>A167</f>
        <v>LONGARINA 18,0M</v>
      </c>
      <c r="B175" s="699"/>
      <c r="C175" s="231"/>
      <c r="D175" s="234">
        <f>I167/1000</f>
        <v>7.56</v>
      </c>
      <c r="E175" s="232"/>
      <c r="F175" s="232"/>
      <c r="G175" s="233"/>
      <c r="H175" s="231"/>
      <c r="I175" s="212">
        <f>D175*1000</f>
        <v>7560</v>
      </c>
      <c r="J175" s="224"/>
    </row>
    <row r="176" spans="1:256" s="220" customFormat="1" ht="15.6">
      <c r="A176" s="698" t="str">
        <f>A168</f>
        <v>TRANSVERSINA 2,60M</v>
      </c>
      <c r="B176" s="699"/>
      <c r="C176" s="215"/>
      <c r="D176" s="234">
        <f>I168/1000</f>
        <v>0.23192000000000002</v>
      </c>
      <c r="E176" s="212"/>
      <c r="F176" s="212"/>
      <c r="G176" s="212"/>
      <c r="H176" s="212"/>
      <c r="I176" s="212">
        <f>D176*1000</f>
        <v>231.92000000000002</v>
      </c>
      <c r="J176" s="224"/>
    </row>
    <row r="177" spans="1:256" s="220" customFormat="1" ht="15.6">
      <c r="A177" s="698" t="str">
        <f>A169</f>
        <v>CONECTORES 2,60</v>
      </c>
      <c r="B177" s="699"/>
      <c r="C177" s="215"/>
      <c r="D177" s="234">
        <f>I169/1000</f>
        <v>1.456</v>
      </c>
      <c r="E177" s="212"/>
      <c r="F177" s="212"/>
      <c r="G177" s="212"/>
      <c r="H177" s="212"/>
      <c r="I177" s="212">
        <f>D177*1000</f>
        <v>1456</v>
      </c>
      <c r="J177" s="224"/>
    </row>
    <row r="178" spans="1:256" s="220" customFormat="1" ht="15.6">
      <c r="A178" s="700" t="s">
        <v>51</v>
      </c>
      <c r="B178" s="701"/>
      <c r="C178" s="701"/>
      <c r="D178" s="701"/>
      <c r="E178" s="701"/>
      <c r="F178" s="701"/>
      <c r="G178" s="701"/>
      <c r="H178" s="702"/>
      <c r="I178" s="213">
        <f>ROUND(I175+I176+I177,2)</f>
        <v>9247.92</v>
      </c>
      <c r="J178" s="225"/>
    </row>
    <row r="179" spans="1:256" s="220" customFormat="1" ht="15.6">
      <c r="A179" s="221"/>
      <c r="J179" s="223"/>
    </row>
    <row r="180" spans="1:256" s="306" customFormat="1" ht="15.6">
      <c r="A180" s="302" t="s">
        <v>306</v>
      </c>
      <c r="B180" s="690" t="s">
        <v>232</v>
      </c>
      <c r="C180" s="690"/>
      <c r="D180" s="690"/>
      <c r="E180" s="690"/>
      <c r="F180" s="690"/>
      <c r="G180" s="690"/>
      <c r="H180" s="690"/>
      <c r="I180" s="690"/>
      <c r="J180" s="691"/>
      <c r="K180" s="303"/>
      <c r="L180" s="304"/>
      <c r="M180" s="304"/>
      <c r="N180" s="304"/>
      <c r="O180" s="305"/>
      <c r="P180" s="304"/>
      <c r="Q180" s="304"/>
      <c r="R180" s="304"/>
      <c r="S180" s="304"/>
      <c r="T180" s="304"/>
      <c r="U180" s="304"/>
      <c r="V180" s="305"/>
      <c r="W180" s="304"/>
      <c r="X180" s="304"/>
      <c r="Y180" s="304"/>
      <c r="Z180" s="304"/>
      <c r="AA180" s="304"/>
      <c r="AB180" s="304"/>
      <c r="AC180" s="305"/>
      <c r="AD180" s="304"/>
      <c r="AE180" s="304"/>
      <c r="AF180" s="304"/>
      <c r="AG180" s="304"/>
      <c r="AH180" s="304"/>
      <c r="AI180" s="304"/>
      <c r="AJ180" s="305"/>
      <c r="AK180" s="304"/>
      <c r="AL180" s="304"/>
      <c r="AM180" s="304"/>
      <c r="AN180" s="304"/>
      <c r="AO180" s="304"/>
      <c r="AP180" s="304"/>
      <c r="AQ180" s="305"/>
      <c r="AR180" s="304"/>
      <c r="AS180" s="304"/>
      <c r="AT180" s="304"/>
      <c r="AU180" s="304"/>
      <c r="AV180" s="304"/>
      <c r="AW180" s="304"/>
      <c r="AX180" s="305"/>
      <c r="AY180" s="304"/>
      <c r="AZ180" s="304"/>
      <c r="BA180" s="304"/>
      <c r="BB180" s="304"/>
      <c r="BC180" s="304"/>
      <c r="BD180" s="304"/>
      <c r="BE180" s="305"/>
      <c r="BF180" s="304"/>
      <c r="BG180" s="304"/>
      <c r="BH180" s="304"/>
      <c r="BI180" s="304"/>
      <c r="BJ180" s="304"/>
      <c r="BK180" s="304"/>
      <c r="BL180" s="305"/>
      <c r="BM180" s="304"/>
      <c r="BN180" s="304"/>
      <c r="BO180" s="304"/>
      <c r="BP180" s="304"/>
      <c r="BQ180" s="304"/>
      <c r="BR180" s="304"/>
      <c r="BS180" s="305"/>
      <c r="BT180" s="304"/>
      <c r="BU180" s="304"/>
      <c r="BV180" s="304"/>
      <c r="BW180" s="304"/>
      <c r="BX180" s="304"/>
      <c r="BY180" s="304"/>
      <c r="BZ180" s="305"/>
      <c r="CA180" s="304"/>
      <c r="CB180" s="304"/>
      <c r="CC180" s="304"/>
      <c r="CD180" s="304"/>
      <c r="CE180" s="304"/>
      <c r="CF180" s="304"/>
      <c r="CG180" s="305"/>
      <c r="CH180" s="304"/>
      <c r="CI180" s="304"/>
      <c r="CJ180" s="304"/>
      <c r="CK180" s="304"/>
      <c r="CL180" s="304"/>
      <c r="CM180" s="304"/>
      <c r="CN180" s="305"/>
      <c r="CO180" s="304"/>
      <c r="CP180" s="304"/>
      <c r="CQ180" s="304"/>
      <c r="CR180" s="304"/>
      <c r="CS180" s="304"/>
      <c r="CT180" s="304"/>
      <c r="CU180" s="305"/>
      <c r="CV180" s="304"/>
      <c r="CW180" s="304"/>
      <c r="CX180" s="304"/>
      <c r="CY180" s="304"/>
      <c r="CZ180" s="304"/>
      <c r="DA180" s="304"/>
      <c r="DB180" s="305"/>
      <c r="DC180" s="304"/>
      <c r="DD180" s="304"/>
      <c r="DE180" s="304"/>
      <c r="DF180" s="304"/>
      <c r="DG180" s="304"/>
      <c r="DH180" s="304"/>
      <c r="DI180" s="305"/>
      <c r="DJ180" s="304"/>
      <c r="DK180" s="304"/>
      <c r="DL180" s="304"/>
      <c r="DM180" s="304"/>
      <c r="DN180" s="304"/>
      <c r="DO180" s="304"/>
      <c r="DP180" s="305"/>
      <c r="DQ180" s="304"/>
      <c r="DR180" s="304"/>
      <c r="DS180" s="304"/>
      <c r="DT180" s="304"/>
      <c r="DU180" s="304"/>
      <c r="DV180" s="304"/>
      <c r="DW180" s="305"/>
      <c r="DX180" s="304"/>
      <c r="DY180" s="304"/>
      <c r="DZ180" s="304"/>
      <c r="EA180" s="304"/>
      <c r="EB180" s="304"/>
      <c r="EC180" s="304"/>
      <c r="ED180" s="305"/>
      <c r="EE180" s="304"/>
      <c r="EF180" s="304"/>
      <c r="EG180" s="304"/>
      <c r="EH180" s="304"/>
      <c r="EI180" s="304"/>
      <c r="EJ180" s="304"/>
      <c r="EK180" s="305"/>
      <c r="EL180" s="304"/>
      <c r="EM180" s="304"/>
      <c r="EN180" s="304"/>
      <c r="EO180" s="304"/>
      <c r="EP180" s="304"/>
      <c r="EQ180" s="304"/>
      <c r="ER180" s="305"/>
      <c r="ES180" s="304"/>
      <c r="ET180" s="304"/>
      <c r="EU180" s="304"/>
      <c r="EV180" s="304"/>
      <c r="EW180" s="304"/>
      <c r="EX180" s="304"/>
      <c r="EY180" s="305"/>
      <c r="EZ180" s="304"/>
      <c r="FA180" s="304"/>
      <c r="FB180" s="304"/>
      <c r="FC180" s="304"/>
      <c r="FD180" s="304"/>
      <c r="FE180" s="304"/>
      <c r="FF180" s="305"/>
      <c r="FG180" s="304"/>
      <c r="FH180" s="304"/>
      <c r="FI180" s="304"/>
      <c r="FJ180" s="304"/>
      <c r="FK180" s="304"/>
      <c r="FL180" s="304"/>
      <c r="FM180" s="305"/>
      <c r="FN180" s="304"/>
      <c r="FO180" s="304"/>
      <c r="FP180" s="304"/>
      <c r="FQ180" s="304"/>
      <c r="FR180" s="304"/>
      <c r="FS180" s="304"/>
      <c r="FT180" s="305"/>
      <c r="FU180" s="304"/>
      <c r="FV180" s="304"/>
      <c r="FW180" s="304"/>
      <c r="FX180" s="304"/>
      <c r="FY180" s="304"/>
      <c r="FZ180" s="304"/>
      <c r="GA180" s="305"/>
      <c r="GB180" s="304"/>
      <c r="GC180" s="304"/>
      <c r="GD180" s="304"/>
      <c r="GE180" s="304"/>
      <c r="GF180" s="304"/>
      <c r="GG180" s="304"/>
      <c r="GH180" s="305"/>
      <c r="GI180" s="304"/>
      <c r="GJ180" s="304"/>
      <c r="GK180" s="304"/>
      <c r="GL180" s="304"/>
      <c r="GM180" s="304"/>
      <c r="GN180" s="304"/>
      <c r="GO180" s="305"/>
      <c r="GP180" s="304"/>
      <c r="GQ180" s="304"/>
      <c r="GR180" s="304"/>
      <c r="GS180" s="304"/>
      <c r="GT180" s="304"/>
      <c r="GU180" s="304"/>
      <c r="GV180" s="305"/>
      <c r="GW180" s="304"/>
      <c r="GX180" s="304"/>
      <c r="GY180" s="304"/>
      <c r="GZ180" s="304"/>
      <c r="HA180" s="304"/>
      <c r="HB180" s="304"/>
      <c r="HC180" s="305"/>
      <c r="HD180" s="304"/>
      <c r="HE180" s="304"/>
      <c r="HF180" s="304"/>
      <c r="HG180" s="304"/>
      <c r="HH180" s="304"/>
      <c r="HI180" s="304"/>
      <c r="HJ180" s="305"/>
      <c r="HK180" s="304"/>
      <c r="HL180" s="304"/>
      <c r="HM180" s="304"/>
      <c r="HN180" s="304"/>
      <c r="HO180" s="304"/>
      <c r="HP180" s="304"/>
      <c r="HQ180" s="305"/>
      <c r="HR180" s="304"/>
      <c r="HS180" s="304"/>
      <c r="HT180" s="304"/>
      <c r="HU180" s="304"/>
      <c r="HV180" s="304"/>
      <c r="HW180" s="304"/>
      <c r="HX180" s="305"/>
      <c r="HY180" s="304"/>
      <c r="HZ180" s="304"/>
      <c r="IA180" s="304"/>
      <c r="IB180" s="304"/>
      <c r="IC180" s="304"/>
      <c r="ID180" s="304"/>
      <c r="IE180" s="305"/>
      <c r="IF180" s="304"/>
      <c r="IG180" s="304"/>
      <c r="IH180" s="304"/>
      <c r="II180" s="304"/>
      <c r="IJ180" s="304"/>
      <c r="IK180" s="304"/>
      <c r="IL180" s="305"/>
      <c r="IM180" s="304"/>
      <c r="IN180" s="304"/>
      <c r="IO180" s="304"/>
      <c r="IP180" s="304"/>
      <c r="IQ180" s="304"/>
      <c r="IR180" s="304"/>
      <c r="IS180" s="305"/>
      <c r="IT180" s="304"/>
      <c r="IU180" s="304"/>
      <c r="IV180" s="304"/>
    </row>
    <row r="181" spans="1:256" s="220" customFormat="1" ht="15.6">
      <c r="A181" s="221"/>
      <c r="J181" s="223"/>
    </row>
    <row r="182" spans="1:256" s="310" customFormat="1" ht="12.75" customHeight="1">
      <c r="A182" s="308" t="s">
        <v>157</v>
      </c>
      <c r="B182" s="312"/>
      <c r="C182" s="313"/>
      <c r="D182" s="740" t="str">
        <f>'PLANILHA '!C36</f>
        <v>IMPRIMAÇÃO COM ASFALTO DILUÍDO CM-30</v>
      </c>
      <c r="E182" s="693"/>
      <c r="F182" s="693"/>
      <c r="G182" s="693"/>
      <c r="H182" s="693"/>
      <c r="I182" s="693"/>
      <c r="J182" s="694"/>
      <c r="K182" s="316"/>
    </row>
    <row r="183" spans="1:256" s="310" customFormat="1" ht="15.6">
      <c r="A183" s="308" t="s">
        <v>158</v>
      </c>
      <c r="B183" s="314"/>
      <c r="C183" s="315"/>
      <c r="D183" s="695"/>
      <c r="E183" s="696"/>
      <c r="F183" s="696"/>
      <c r="G183" s="696"/>
      <c r="H183" s="696"/>
      <c r="I183" s="696"/>
      <c r="J183" s="697"/>
      <c r="K183" s="316"/>
    </row>
    <row r="184" spans="1:256" s="227" customFormat="1" ht="11.25" customHeight="1">
      <c r="A184" s="716" t="s">
        <v>419</v>
      </c>
      <c r="B184" s="717"/>
      <c r="C184" s="247"/>
      <c r="D184" s="705" t="s">
        <v>338</v>
      </c>
      <c r="E184" s="722" t="s">
        <v>160</v>
      </c>
      <c r="F184" s="722" t="s">
        <v>420</v>
      </c>
      <c r="G184" s="720" t="s">
        <v>159</v>
      </c>
      <c r="H184" s="705" t="s">
        <v>338</v>
      </c>
      <c r="I184" s="705" t="s">
        <v>421</v>
      </c>
      <c r="J184" s="747" t="s">
        <v>422</v>
      </c>
      <c r="K184" s="223"/>
    </row>
    <row r="185" spans="1:256" s="227" customFormat="1" ht="15.6">
      <c r="A185" s="718"/>
      <c r="B185" s="719"/>
      <c r="C185" s="248"/>
      <c r="D185" s="706"/>
      <c r="E185" s="723"/>
      <c r="F185" s="723"/>
      <c r="G185" s="721"/>
      <c r="H185" s="706"/>
      <c r="I185" s="706"/>
      <c r="J185" s="748"/>
      <c r="K185" s="223"/>
    </row>
    <row r="186" spans="1:256" s="227" customFormat="1" ht="15.6">
      <c r="A186" s="714" t="s">
        <v>433</v>
      </c>
      <c r="B186" s="715"/>
      <c r="C186" s="251"/>
      <c r="D186" s="252"/>
      <c r="E186" s="252">
        <f>E28</f>
        <v>0</v>
      </c>
      <c r="F186" s="252">
        <v>3</v>
      </c>
      <c r="G186" s="252">
        <v>1</v>
      </c>
      <c r="H186" s="252">
        <f>(E186*F186*G186)</f>
        <v>0</v>
      </c>
      <c r="I186" s="252"/>
      <c r="J186" s="253"/>
      <c r="K186" s="223"/>
    </row>
    <row r="187" spans="1:256" s="227" customFormat="1" ht="15.6">
      <c r="A187" s="714" t="s">
        <v>434</v>
      </c>
      <c r="B187" s="715"/>
      <c r="C187" s="251"/>
      <c r="D187" s="252">
        <f>D27</f>
        <v>24</v>
      </c>
      <c r="E187" s="252"/>
      <c r="F187" s="252"/>
      <c r="G187" s="252">
        <v>1</v>
      </c>
      <c r="H187" s="252">
        <f>D187*G187</f>
        <v>24</v>
      </c>
      <c r="I187" s="252"/>
      <c r="J187" s="253"/>
      <c r="K187" s="223"/>
    </row>
    <row r="188" spans="1:256" s="227" customFormat="1" ht="15.6">
      <c r="A188" s="709" t="s">
        <v>51</v>
      </c>
      <c r="B188" s="710"/>
      <c r="C188" s="206"/>
      <c r="D188" s="254"/>
      <c r="E188" s="254"/>
      <c r="F188" s="255"/>
      <c r="G188" s="255"/>
      <c r="H188" s="213">
        <f>ROUND(H186+H187,2)</f>
        <v>24</v>
      </c>
      <c r="I188" s="254"/>
      <c r="J188" s="256"/>
      <c r="K188" s="223"/>
    </row>
    <row r="189" spans="1:256" s="227" customFormat="1" ht="15.6">
      <c r="A189" s="709"/>
      <c r="B189" s="749"/>
      <c r="C189" s="749"/>
      <c r="D189" s="749"/>
      <c r="E189" s="749"/>
      <c r="F189" s="749"/>
      <c r="G189" s="749"/>
      <c r="H189" s="749"/>
      <c r="I189" s="749"/>
      <c r="J189" s="750"/>
      <c r="K189" s="223"/>
    </row>
    <row r="190" spans="1:256" s="310" customFormat="1" ht="15.6">
      <c r="A190" s="308" t="s">
        <v>157</v>
      </c>
      <c r="B190" s="312"/>
      <c r="C190" s="313"/>
      <c r="D190" s="740" t="str">
        <f>'PLANILHA '!C37</f>
        <v>TRANSPORTE DE MATERIAL DE QUALQUER NATUREZA. DISTÂNCIA MÉDIA DE TRANSPORTE &gt;= 50,10 KM</v>
      </c>
      <c r="E190" s="693"/>
      <c r="F190" s="693"/>
      <c r="G190" s="693"/>
      <c r="H190" s="693"/>
      <c r="I190" s="693"/>
      <c r="J190" s="694"/>
      <c r="K190" s="316"/>
    </row>
    <row r="191" spans="1:256" s="310" customFormat="1" ht="15.6">
      <c r="A191" s="308" t="s">
        <v>158</v>
      </c>
      <c r="B191" s="314"/>
      <c r="C191" s="315"/>
      <c r="D191" s="695"/>
      <c r="E191" s="696"/>
      <c r="F191" s="696"/>
      <c r="G191" s="696"/>
      <c r="H191" s="696"/>
      <c r="I191" s="696"/>
      <c r="J191" s="697"/>
      <c r="K191" s="316"/>
    </row>
    <row r="192" spans="1:256" s="227" customFormat="1" ht="15.6">
      <c r="A192" s="716" t="s">
        <v>419</v>
      </c>
      <c r="B192" s="717"/>
      <c r="C192" s="247"/>
      <c r="D192" s="722" t="s">
        <v>160</v>
      </c>
      <c r="E192" s="722" t="s">
        <v>420</v>
      </c>
      <c r="F192" s="720" t="s">
        <v>159</v>
      </c>
      <c r="G192" s="720" t="s">
        <v>423</v>
      </c>
      <c r="H192" s="705" t="s">
        <v>338</v>
      </c>
      <c r="I192" s="705" t="s">
        <v>424</v>
      </c>
      <c r="J192" s="707" t="s">
        <v>425</v>
      </c>
      <c r="K192" s="223"/>
    </row>
    <row r="193" spans="1:11" s="227" customFormat="1" ht="12.75" customHeight="1">
      <c r="A193" s="718"/>
      <c r="B193" s="719"/>
      <c r="C193" s="248"/>
      <c r="D193" s="723"/>
      <c r="E193" s="723"/>
      <c r="F193" s="721"/>
      <c r="G193" s="721"/>
      <c r="H193" s="706"/>
      <c r="I193" s="706"/>
      <c r="J193" s="708"/>
      <c r="K193" s="223"/>
    </row>
    <row r="194" spans="1:11" s="227" customFormat="1" ht="15.6">
      <c r="A194" s="249" t="str">
        <f>A186</f>
        <v>ÁREA A SER PAVIMENTADA  - LADO DO PEGÃO 1</v>
      </c>
      <c r="B194" s="250"/>
      <c r="C194" s="251"/>
      <c r="D194" s="252"/>
      <c r="E194" s="252"/>
      <c r="F194" s="252">
        <v>1</v>
      </c>
      <c r="G194" s="257">
        <v>1.1999999999999999E-3</v>
      </c>
      <c r="H194" s="252">
        <f>H186</f>
        <v>0</v>
      </c>
      <c r="I194" s="258">
        <v>513</v>
      </c>
      <c r="J194" s="253">
        <f>ROUND((H194*G194*I194),2)</f>
        <v>0</v>
      </c>
      <c r="K194" s="223"/>
    </row>
    <row r="195" spans="1:11" s="227" customFormat="1" ht="15.6">
      <c r="A195" s="249" t="str">
        <f>A187</f>
        <v>ÁREA A SER PAVIMENTADA  - LADO DO PEGÃO 2</v>
      </c>
      <c r="B195" s="250"/>
      <c r="C195" s="251"/>
      <c r="D195" s="252"/>
      <c r="E195" s="252"/>
      <c r="F195" s="252">
        <v>1</v>
      </c>
      <c r="G195" s="257">
        <v>1.1999999999999999E-3</v>
      </c>
      <c r="H195" s="252">
        <f>H187</f>
        <v>24</v>
      </c>
      <c r="I195" s="258">
        <v>513</v>
      </c>
      <c r="J195" s="253">
        <f>ROUND((H195*G195*I195),2)</f>
        <v>14.77</v>
      </c>
      <c r="K195" s="223"/>
    </row>
    <row r="196" spans="1:11" s="227" customFormat="1" ht="15.75" customHeight="1">
      <c r="A196" s="709" t="s">
        <v>51</v>
      </c>
      <c r="B196" s="710"/>
      <c r="C196" s="206"/>
      <c r="D196" s="254"/>
      <c r="E196" s="252"/>
      <c r="F196" s="255"/>
      <c r="G196" s="255"/>
      <c r="H196" s="254"/>
      <c r="I196" s="259"/>
      <c r="J196" s="213">
        <f>ROUND(J194+J195,2)</f>
        <v>14.77</v>
      </c>
      <c r="K196" s="223"/>
    </row>
    <row r="197" spans="1:11" s="227" customFormat="1" ht="15.6">
      <c r="A197" s="709"/>
      <c r="B197" s="749"/>
      <c r="C197" s="749"/>
      <c r="D197" s="749"/>
      <c r="E197" s="749"/>
      <c r="F197" s="749"/>
      <c r="G197" s="749"/>
      <c r="H197" s="749"/>
      <c r="I197" s="749"/>
      <c r="J197" s="750"/>
      <c r="K197" s="223"/>
    </row>
    <row r="198" spans="1:11" s="310" customFormat="1" ht="15.6">
      <c r="A198" s="308" t="s">
        <v>157</v>
      </c>
      <c r="B198" s="312"/>
      <c r="C198" s="313"/>
      <c r="D198" s="692" t="str">
        <f>'PLANILHA '!C38</f>
        <v>PINTURA DE LIGAÇÃO (EXECUÇÃO E FORNECIMENTO DO MATERIAL BETUMINOSO, EXCLUSIVE TRANSPORTE DO MATERIAL BETUMINOSO)</v>
      </c>
      <c r="E198" s="726"/>
      <c r="F198" s="726"/>
      <c r="G198" s="726"/>
      <c r="H198" s="726"/>
      <c r="I198" s="726"/>
      <c r="J198" s="727"/>
      <c r="K198" s="317"/>
    </row>
    <row r="199" spans="1:11" s="310" customFormat="1" ht="15.6">
      <c r="A199" s="308" t="s">
        <v>158</v>
      </c>
      <c r="B199" s="314"/>
      <c r="C199" s="315"/>
      <c r="D199" s="728"/>
      <c r="E199" s="729"/>
      <c r="F199" s="729"/>
      <c r="G199" s="729"/>
      <c r="H199" s="729"/>
      <c r="I199" s="729"/>
      <c r="J199" s="730"/>
      <c r="K199" s="316"/>
    </row>
    <row r="200" spans="1:11" s="227" customFormat="1" ht="15.6">
      <c r="A200" s="716" t="s">
        <v>419</v>
      </c>
      <c r="B200" s="717"/>
      <c r="C200" s="247"/>
      <c r="D200" s="722" t="s">
        <v>160</v>
      </c>
      <c r="E200" s="705" t="s">
        <v>426</v>
      </c>
      <c r="F200" s="722" t="s">
        <v>366</v>
      </c>
      <c r="G200" s="720" t="s">
        <v>159</v>
      </c>
      <c r="H200" s="705" t="s">
        <v>338</v>
      </c>
      <c r="I200" s="705" t="s">
        <v>427</v>
      </c>
      <c r="J200" s="747" t="s">
        <v>422</v>
      </c>
      <c r="K200" s="223"/>
    </row>
    <row r="201" spans="1:11" s="227" customFormat="1" ht="15.6">
      <c r="A201" s="718"/>
      <c r="B201" s="719"/>
      <c r="C201" s="248"/>
      <c r="D201" s="723"/>
      <c r="E201" s="706"/>
      <c r="F201" s="723"/>
      <c r="G201" s="721"/>
      <c r="H201" s="706"/>
      <c r="I201" s="706"/>
      <c r="J201" s="748"/>
      <c r="K201" s="223"/>
    </row>
    <row r="202" spans="1:11" s="227" customFormat="1" ht="15.6">
      <c r="A202" s="249" t="str">
        <f>A194</f>
        <v>ÁREA A SER PAVIMENTADA  - LADO DO PEGÃO 1</v>
      </c>
      <c r="B202" s="250"/>
      <c r="C202" s="251"/>
      <c r="D202" s="252"/>
      <c r="E202" s="252"/>
      <c r="F202" s="252"/>
      <c r="G202" s="252">
        <v>1</v>
      </c>
      <c r="H202" s="252">
        <f>H194</f>
        <v>0</v>
      </c>
      <c r="I202" s="252">
        <f>H202*G202</f>
        <v>0</v>
      </c>
      <c r="J202" s="253"/>
      <c r="K202" s="223"/>
    </row>
    <row r="203" spans="1:11" s="227" customFormat="1" ht="15.6">
      <c r="A203" s="249" t="str">
        <f>A195</f>
        <v>ÁREA A SER PAVIMENTADA  - LADO DO PEGÃO 2</v>
      </c>
      <c r="B203" s="250"/>
      <c r="C203" s="251"/>
      <c r="D203" s="252"/>
      <c r="E203" s="252"/>
      <c r="F203" s="252"/>
      <c r="G203" s="252">
        <v>1</v>
      </c>
      <c r="H203" s="252">
        <f>H195</f>
        <v>24</v>
      </c>
      <c r="I203" s="252">
        <f>H203*G203</f>
        <v>24</v>
      </c>
      <c r="J203" s="253"/>
      <c r="K203" s="223"/>
    </row>
    <row r="204" spans="1:11" s="227" customFormat="1" ht="15.6">
      <c r="A204" s="709" t="s">
        <v>51</v>
      </c>
      <c r="B204" s="710"/>
      <c r="C204" s="206"/>
      <c r="D204" s="254"/>
      <c r="E204" s="254"/>
      <c r="F204" s="255"/>
      <c r="G204" s="255"/>
      <c r="H204" s="254"/>
      <c r="I204" s="213">
        <f>ROUND(I202+I203,2)</f>
        <v>24</v>
      </c>
      <c r="J204" s="256"/>
      <c r="K204" s="223"/>
    </row>
    <row r="205" spans="1:11" s="227" customFormat="1" ht="15.6">
      <c r="A205" s="775"/>
      <c r="B205" s="776"/>
      <c r="C205" s="776"/>
      <c r="D205" s="776"/>
      <c r="E205" s="776"/>
      <c r="F205" s="776"/>
      <c r="G205" s="776"/>
      <c r="H205" s="776"/>
      <c r="I205" s="776"/>
      <c r="J205" s="777"/>
      <c r="K205" s="223"/>
    </row>
    <row r="206" spans="1:11" s="310" customFormat="1" ht="15.6">
      <c r="A206" s="308" t="s">
        <v>157</v>
      </c>
      <c r="B206" s="312"/>
      <c r="C206" s="313"/>
      <c r="D206" s="692" t="str">
        <f>'PLANILHA '!C39</f>
        <v>TRANSPORTE DE MATERIAL DE QUALQUER NATUREZA. DISTÂNCIA MÉDIA DE TRANSPORTE &gt;= 50,10 KM</v>
      </c>
      <c r="E206" s="693"/>
      <c r="F206" s="693"/>
      <c r="G206" s="693"/>
      <c r="H206" s="693"/>
      <c r="I206" s="693"/>
      <c r="J206" s="694"/>
      <c r="K206" s="316"/>
    </row>
    <row r="207" spans="1:11" s="310" customFormat="1" ht="23.25" customHeight="1">
      <c r="A207" s="308" t="s">
        <v>158</v>
      </c>
      <c r="B207" s="314"/>
      <c r="C207" s="315"/>
      <c r="D207" s="695"/>
      <c r="E207" s="696"/>
      <c r="F207" s="696"/>
      <c r="G207" s="696"/>
      <c r="H207" s="696"/>
      <c r="I207" s="696"/>
      <c r="J207" s="697"/>
    </row>
    <row r="208" spans="1:11" s="227" customFormat="1" ht="15" customHeight="1">
      <c r="A208" s="716" t="s">
        <v>419</v>
      </c>
      <c r="B208" s="717"/>
      <c r="C208" s="705"/>
      <c r="D208" s="722" t="s">
        <v>160</v>
      </c>
      <c r="E208" s="705" t="s">
        <v>426</v>
      </c>
      <c r="F208" s="720" t="s">
        <v>159</v>
      </c>
      <c r="G208" s="720" t="s">
        <v>428</v>
      </c>
      <c r="H208" s="705" t="s">
        <v>338</v>
      </c>
      <c r="I208" s="705" t="s">
        <v>424</v>
      </c>
      <c r="J208" s="707" t="s">
        <v>425</v>
      </c>
    </row>
    <row r="209" spans="1:10" s="227" customFormat="1" ht="15.6">
      <c r="A209" s="718"/>
      <c r="B209" s="719"/>
      <c r="C209" s="706"/>
      <c r="D209" s="723"/>
      <c r="E209" s="706"/>
      <c r="F209" s="721"/>
      <c r="G209" s="721"/>
      <c r="H209" s="706"/>
      <c r="I209" s="706"/>
      <c r="J209" s="708"/>
    </row>
    <row r="210" spans="1:10" s="227" customFormat="1" ht="15.6">
      <c r="A210" s="249" t="str">
        <f>A202</f>
        <v>ÁREA A SER PAVIMENTADA  - LADO DO PEGÃO 1</v>
      </c>
      <c r="B210" s="250"/>
      <c r="C210" s="251"/>
      <c r="D210" s="252"/>
      <c r="E210" s="252"/>
      <c r="F210" s="252"/>
      <c r="G210" s="260">
        <v>5.0000000000000001E-4</v>
      </c>
      <c r="H210" s="252">
        <f>H202</f>
        <v>0</v>
      </c>
      <c r="I210" s="258">
        <f>I194</f>
        <v>513</v>
      </c>
      <c r="J210" s="261">
        <f>ROUND((H210*G210*I210),2)</f>
        <v>0</v>
      </c>
    </row>
    <row r="211" spans="1:10" s="227" customFormat="1" ht="15.6">
      <c r="A211" s="249" t="str">
        <f>A203</f>
        <v>ÁREA A SER PAVIMENTADA  - LADO DO PEGÃO 2</v>
      </c>
      <c r="B211" s="250"/>
      <c r="C211" s="251"/>
      <c r="D211" s="252"/>
      <c r="E211" s="252"/>
      <c r="F211" s="252"/>
      <c r="G211" s="260">
        <v>5.0000000000000001E-4</v>
      </c>
      <c r="H211" s="252">
        <f>H203</f>
        <v>24</v>
      </c>
      <c r="I211" s="258">
        <f>I195</f>
        <v>513</v>
      </c>
      <c r="J211" s="261">
        <f>ROUND((H211*G211*I211),2)</f>
        <v>6.16</v>
      </c>
    </row>
    <row r="212" spans="1:10" s="227" customFormat="1" ht="15.6">
      <c r="A212" s="709" t="s">
        <v>51</v>
      </c>
      <c r="B212" s="710"/>
      <c r="C212" s="206"/>
      <c r="D212" s="254"/>
      <c r="E212" s="254"/>
      <c r="F212" s="255"/>
      <c r="G212" s="255"/>
      <c r="H212" s="254"/>
      <c r="I212" s="262"/>
      <c r="J212" s="213">
        <f>ROUND(J210+J211,2)</f>
        <v>6.16</v>
      </c>
    </row>
    <row r="213" spans="1:10" s="227" customFormat="1" ht="11.25" customHeight="1">
      <c r="A213" s="711"/>
      <c r="B213" s="712"/>
      <c r="C213" s="712"/>
      <c r="D213" s="712"/>
      <c r="E213" s="712"/>
      <c r="F213" s="712"/>
      <c r="G213" s="712"/>
      <c r="H213" s="712"/>
      <c r="I213" s="712"/>
      <c r="J213" s="713"/>
    </row>
    <row r="214" spans="1:10" s="310" customFormat="1" ht="15.6">
      <c r="A214" s="308" t="s">
        <v>157</v>
      </c>
      <c r="B214" s="312"/>
      <c r="C214" s="313"/>
      <c r="D214" s="692" t="str">
        <f>'PLANILHA '!C40</f>
        <v>EXECUÇÃO E APLICAÇÃO DE CONCRETO BETUMINOSO USINADO A QUENTE (CBUQ), MASSA COMERCIAL, INCLUINDO FORNECIMENTO E TRANSPORTE DOS AGREGADOS E MATERIAL BETUMINOSO, EXCLUSIVE TRANSPORTE DA MASSA ASFÁLTICA ATÉ A PISTA</v>
      </c>
      <c r="E214" s="693"/>
      <c r="F214" s="693"/>
      <c r="G214" s="693"/>
      <c r="H214" s="693"/>
      <c r="I214" s="693"/>
      <c r="J214" s="694"/>
    </row>
    <row r="215" spans="1:10" s="310" customFormat="1" ht="15.6">
      <c r="A215" s="308" t="s">
        <v>158</v>
      </c>
      <c r="B215" s="314"/>
      <c r="C215" s="315"/>
      <c r="D215" s="695"/>
      <c r="E215" s="696"/>
      <c r="F215" s="696"/>
      <c r="G215" s="696"/>
      <c r="H215" s="696"/>
      <c r="I215" s="696"/>
      <c r="J215" s="697"/>
    </row>
    <row r="216" spans="1:10" s="227" customFormat="1" ht="15.6">
      <c r="A216" s="716" t="s">
        <v>419</v>
      </c>
      <c r="B216" s="717"/>
      <c r="C216" s="705"/>
      <c r="D216" s="722" t="str">
        <f>H208</f>
        <v>Área (m²)</v>
      </c>
      <c r="E216" s="705"/>
      <c r="F216" s="720" t="s">
        <v>429</v>
      </c>
      <c r="G216" s="724"/>
      <c r="H216" s="705"/>
      <c r="I216" s="720"/>
      <c r="J216" s="707" t="s">
        <v>430</v>
      </c>
    </row>
    <row r="217" spans="1:10" s="227" customFormat="1" ht="15.6">
      <c r="A217" s="718"/>
      <c r="B217" s="719"/>
      <c r="C217" s="706"/>
      <c r="D217" s="723"/>
      <c r="E217" s="706"/>
      <c r="F217" s="721"/>
      <c r="G217" s="725"/>
      <c r="H217" s="706"/>
      <c r="I217" s="721"/>
      <c r="J217" s="708"/>
    </row>
    <row r="218" spans="1:10" s="227" customFormat="1" ht="15.6">
      <c r="A218" s="249" t="str">
        <f>A210</f>
        <v>ÁREA A SER PAVIMENTADA  - LADO DO PEGÃO 1</v>
      </c>
      <c r="B218" s="250"/>
      <c r="C218" s="251"/>
      <c r="D218" s="252">
        <f>H210</f>
        <v>0</v>
      </c>
      <c r="E218" s="252"/>
      <c r="F218" s="252">
        <v>0.03</v>
      </c>
      <c r="G218" s="264"/>
      <c r="H218" s="252"/>
      <c r="I218" s="252"/>
      <c r="J218" s="253">
        <f>F218*D218</f>
        <v>0</v>
      </c>
    </row>
    <row r="219" spans="1:10" s="227" customFormat="1" ht="18" customHeight="1">
      <c r="A219" s="249" t="str">
        <f>A211</f>
        <v>ÁREA A SER PAVIMENTADA  - LADO DO PEGÃO 2</v>
      </c>
      <c r="B219" s="250"/>
      <c r="C219" s="251"/>
      <c r="D219" s="252">
        <f>H211</f>
        <v>24</v>
      </c>
      <c r="E219" s="252"/>
      <c r="F219" s="252">
        <v>0.03</v>
      </c>
      <c r="G219" s="264"/>
      <c r="H219" s="266"/>
      <c r="I219" s="252"/>
      <c r="J219" s="253">
        <f>F219*D219</f>
        <v>0.72</v>
      </c>
    </row>
    <row r="220" spans="1:10" s="227" customFormat="1" ht="19.5" customHeight="1">
      <c r="A220" s="709" t="s">
        <v>51</v>
      </c>
      <c r="B220" s="710"/>
      <c r="C220" s="206"/>
      <c r="D220" s="254"/>
      <c r="E220" s="254"/>
      <c r="F220" s="255"/>
      <c r="G220" s="255"/>
      <c r="H220" s="265"/>
      <c r="I220" s="262"/>
      <c r="J220" s="213">
        <f>ROUND(J218+J219,2)</f>
        <v>0.72</v>
      </c>
    </row>
    <row r="221" spans="1:10" s="227" customFormat="1" ht="12.75" customHeight="1">
      <c r="A221" s="222"/>
      <c r="B221" s="206"/>
      <c r="C221" s="267"/>
      <c r="D221" s="268"/>
      <c r="E221" s="269"/>
      <c r="F221" s="270"/>
      <c r="G221" s="270"/>
      <c r="H221" s="271"/>
      <c r="I221" s="271"/>
      <c r="J221" s="272"/>
    </row>
    <row r="222" spans="1:10" s="310" customFormat="1" ht="16.5" customHeight="1">
      <c r="A222" s="308" t="s">
        <v>157</v>
      </c>
      <c r="B222" s="312"/>
      <c r="C222" s="313"/>
      <c r="D222" s="692" t="str">
        <f>'PLANILHA '!C41</f>
        <v>TRANSPORTE DE MATERIAL DE QUALQUER NATUREZA. DISTÂNCIA MÉDIA DE TRANSPORTE &gt;= 50,10 KM</v>
      </c>
      <c r="E222" s="693"/>
      <c r="F222" s="693"/>
      <c r="G222" s="693"/>
      <c r="H222" s="693"/>
      <c r="I222" s="693"/>
      <c r="J222" s="694"/>
    </row>
    <row r="223" spans="1:10" s="310" customFormat="1" ht="18.75" customHeight="1">
      <c r="A223" s="308" t="s">
        <v>158</v>
      </c>
      <c r="B223" s="314"/>
      <c r="C223" s="315"/>
      <c r="D223" s="695"/>
      <c r="E223" s="696"/>
      <c r="F223" s="696"/>
      <c r="G223" s="696"/>
      <c r="H223" s="696"/>
      <c r="I223" s="696"/>
      <c r="J223" s="697"/>
    </row>
    <row r="224" spans="1:10" s="227" customFormat="1" ht="15.6">
      <c r="A224" s="716" t="s">
        <v>419</v>
      </c>
      <c r="B224" s="717"/>
      <c r="C224" s="247"/>
      <c r="D224" s="705" t="s">
        <v>430</v>
      </c>
      <c r="E224" s="705" t="s">
        <v>424</v>
      </c>
      <c r="F224" s="720" t="s">
        <v>159</v>
      </c>
      <c r="G224" s="720" t="s">
        <v>432</v>
      </c>
      <c r="H224" s="705"/>
      <c r="I224" s="705"/>
      <c r="J224" s="707" t="s">
        <v>431</v>
      </c>
    </row>
    <row r="225" spans="1:256" s="227" customFormat="1" ht="15.6">
      <c r="A225" s="718"/>
      <c r="B225" s="719"/>
      <c r="C225" s="248"/>
      <c r="D225" s="706"/>
      <c r="E225" s="706"/>
      <c r="F225" s="721"/>
      <c r="G225" s="721"/>
      <c r="H225" s="706"/>
      <c r="I225" s="706"/>
      <c r="J225" s="708"/>
    </row>
    <row r="226" spans="1:256" s="227" customFormat="1" ht="15.6">
      <c r="A226" s="249"/>
      <c r="B226" s="250"/>
      <c r="C226" s="251"/>
      <c r="D226" s="252">
        <f>J220</f>
        <v>0.72</v>
      </c>
      <c r="E226" s="258">
        <v>120</v>
      </c>
      <c r="F226" s="252">
        <v>1</v>
      </c>
      <c r="G226" s="266">
        <v>2.4</v>
      </c>
      <c r="H226" s="263"/>
      <c r="I226" s="258"/>
      <c r="J226" s="253">
        <f>D226*E226*F226*G226</f>
        <v>207.35999999999999</v>
      </c>
    </row>
    <row r="227" spans="1:256" s="227" customFormat="1" ht="15.6">
      <c r="A227" s="709" t="s">
        <v>51</v>
      </c>
      <c r="B227" s="710"/>
      <c r="C227" s="206"/>
      <c r="D227" s="254"/>
      <c r="E227" s="252"/>
      <c r="F227" s="255"/>
      <c r="G227" s="266"/>
      <c r="H227" s="254"/>
      <c r="I227" s="262"/>
      <c r="J227" s="213">
        <f>ROUND(J225+J226,2)</f>
        <v>207.36</v>
      </c>
    </row>
    <row r="228" spans="1:256" s="227" customFormat="1" ht="11.25" customHeight="1">
      <c r="A228" s="711"/>
      <c r="B228" s="712"/>
      <c r="C228" s="712"/>
      <c r="D228" s="712"/>
      <c r="E228" s="712"/>
      <c r="F228" s="712"/>
      <c r="G228" s="712"/>
      <c r="H228" s="712"/>
      <c r="I228" s="712"/>
      <c r="J228" s="713"/>
    </row>
    <row r="229" spans="1:256" s="220" customFormat="1" ht="15.6">
      <c r="A229" s="221"/>
      <c r="J229" s="223"/>
    </row>
    <row r="230" spans="1:256" s="306" customFormat="1" ht="15.6">
      <c r="A230" s="302" t="s">
        <v>307</v>
      </c>
      <c r="B230" s="690" t="s">
        <v>121</v>
      </c>
      <c r="C230" s="690"/>
      <c r="D230" s="690"/>
      <c r="E230" s="690"/>
      <c r="F230" s="690"/>
      <c r="G230" s="690"/>
      <c r="H230" s="690"/>
      <c r="I230" s="690"/>
      <c r="J230" s="691"/>
      <c r="K230" s="307"/>
      <c r="L230" s="307"/>
      <c r="M230" s="307"/>
      <c r="N230" s="307"/>
      <c r="O230" s="307"/>
      <c r="P230" s="307"/>
      <c r="Q230" s="307"/>
      <c r="R230" s="307"/>
      <c r="S230" s="307"/>
      <c r="T230" s="307"/>
      <c r="U230" s="307"/>
      <c r="V230" s="307"/>
      <c r="W230" s="307"/>
      <c r="X230" s="307"/>
      <c r="Y230" s="307"/>
      <c r="Z230" s="307"/>
      <c r="AA230" s="307"/>
      <c r="AB230" s="307"/>
      <c r="AC230" s="307"/>
      <c r="AD230" s="307"/>
      <c r="AE230" s="307"/>
      <c r="AF230" s="307"/>
      <c r="AG230" s="307"/>
      <c r="AH230" s="307"/>
      <c r="AI230" s="307"/>
      <c r="AJ230" s="307"/>
      <c r="AK230" s="307"/>
      <c r="AL230" s="307"/>
      <c r="AM230" s="307"/>
      <c r="AN230" s="307"/>
      <c r="AO230" s="307"/>
      <c r="AP230" s="307"/>
      <c r="AQ230" s="307"/>
      <c r="AR230" s="307"/>
      <c r="AS230" s="307"/>
      <c r="AT230" s="307"/>
      <c r="AU230" s="307"/>
      <c r="AV230" s="307"/>
      <c r="AW230" s="307"/>
      <c r="AX230" s="307"/>
      <c r="AY230" s="307"/>
      <c r="AZ230" s="307"/>
      <c r="BA230" s="307"/>
      <c r="BB230" s="307"/>
      <c r="BC230" s="307"/>
      <c r="BD230" s="307"/>
      <c r="BE230" s="307"/>
      <c r="BF230" s="307"/>
      <c r="BG230" s="307"/>
      <c r="BH230" s="307"/>
      <c r="BI230" s="307"/>
      <c r="BJ230" s="307"/>
      <c r="BK230" s="307"/>
      <c r="BL230" s="307"/>
      <c r="BM230" s="307"/>
      <c r="BN230" s="307"/>
      <c r="BO230" s="307"/>
      <c r="BP230" s="307"/>
      <c r="BQ230" s="307"/>
      <c r="BR230" s="307"/>
      <c r="BS230" s="307"/>
      <c r="BT230" s="307"/>
      <c r="BU230" s="307"/>
      <c r="BV230" s="307"/>
      <c r="BW230" s="307"/>
      <c r="BX230" s="307"/>
      <c r="BY230" s="307"/>
      <c r="BZ230" s="307"/>
      <c r="CA230" s="307"/>
      <c r="CB230" s="307"/>
      <c r="CC230" s="307"/>
      <c r="CD230" s="307"/>
      <c r="CE230" s="307"/>
      <c r="CF230" s="307"/>
      <c r="CG230" s="307"/>
      <c r="CH230" s="307"/>
      <c r="CI230" s="307"/>
      <c r="CJ230" s="307"/>
      <c r="CK230" s="307"/>
      <c r="CL230" s="307"/>
      <c r="CM230" s="307"/>
      <c r="CN230" s="307"/>
      <c r="CO230" s="307"/>
      <c r="CP230" s="307"/>
      <c r="CQ230" s="307"/>
      <c r="CR230" s="307"/>
      <c r="CS230" s="307"/>
      <c r="CT230" s="307"/>
      <c r="CU230" s="307"/>
      <c r="CV230" s="307"/>
      <c r="CW230" s="307"/>
      <c r="CX230" s="307"/>
      <c r="CY230" s="307"/>
      <c r="CZ230" s="307"/>
      <c r="DA230" s="307"/>
      <c r="DB230" s="307"/>
      <c r="DC230" s="307"/>
      <c r="DD230" s="307"/>
      <c r="DE230" s="307"/>
      <c r="DF230" s="307"/>
      <c r="DG230" s="307"/>
      <c r="DH230" s="307"/>
      <c r="DI230" s="307"/>
      <c r="DJ230" s="307"/>
      <c r="DK230" s="307"/>
      <c r="DL230" s="307"/>
      <c r="DM230" s="307"/>
      <c r="DN230" s="307"/>
      <c r="DO230" s="307"/>
      <c r="DP230" s="307"/>
      <c r="DQ230" s="307"/>
      <c r="DR230" s="307"/>
      <c r="DS230" s="307"/>
      <c r="DT230" s="307"/>
      <c r="DU230" s="307"/>
      <c r="DV230" s="307"/>
      <c r="DW230" s="307"/>
      <c r="DX230" s="307"/>
      <c r="DY230" s="307"/>
      <c r="DZ230" s="307"/>
      <c r="EA230" s="307"/>
      <c r="EB230" s="307"/>
      <c r="EC230" s="307"/>
      <c r="ED230" s="307"/>
      <c r="EE230" s="307"/>
      <c r="EF230" s="307"/>
      <c r="EG230" s="307"/>
      <c r="EH230" s="307"/>
      <c r="EI230" s="307"/>
      <c r="EJ230" s="307"/>
      <c r="EK230" s="307"/>
      <c r="EL230" s="307"/>
      <c r="EM230" s="307"/>
      <c r="EN230" s="307"/>
      <c r="EO230" s="307"/>
      <c r="EP230" s="307"/>
      <c r="EQ230" s="307"/>
      <c r="ER230" s="307"/>
      <c r="ES230" s="307"/>
      <c r="ET230" s="307"/>
      <c r="EU230" s="307"/>
      <c r="EV230" s="307"/>
      <c r="EW230" s="307"/>
      <c r="EX230" s="307"/>
      <c r="EY230" s="307"/>
      <c r="EZ230" s="307"/>
      <c r="FA230" s="307"/>
      <c r="FB230" s="307"/>
      <c r="FC230" s="307"/>
      <c r="FD230" s="307"/>
      <c r="FE230" s="307"/>
      <c r="FF230" s="307"/>
      <c r="FG230" s="307"/>
      <c r="FH230" s="307"/>
      <c r="FI230" s="307"/>
      <c r="FJ230" s="307"/>
      <c r="FK230" s="307"/>
      <c r="FL230" s="307"/>
      <c r="FM230" s="307"/>
      <c r="FN230" s="307"/>
      <c r="FO230" s="307"/>
      <c r="FP230" s="307"/>
      <c r="FQ230" s="307"/>
      <c r="FR230" s="307"/>
      <c r="FS230" s="307"/>
      <c r="FT230" s="307"/>
      <c r="FU230" s="307"/>
      <c r="FV230" s="307"/>
      <c r="FW230" s="307"/>
      <c r="FX230" s="307"/>
      <c r="FY230" s="307"/>
      <c r="FZ230" s="307"/>
      <c r="GA230" s="307"/>
      <c r="GB230" s="307"/>
      <c r="GC230" s="307"/>
      <c r="GD230" s="304"/>
      <c r="GE230" s="304"/>
      <c r="GF230" s="304"/>
      <c r="GG230" s="304"/>
      <c r="GH230" s="305"/>
      <c r="GI230" s="304"/>
      <c r="GJ230" s="304"/>
      <c r="GK230" s="304"/>
      <c r="GL230" s="304"/>
      <c r="GM230" s="304"/>
      <c r="GN230" s="304"/>
      <c r="GO230" s="305"/>
      <c r="GP230" s="304"/>
      <c r="GQ230" s="304"/>
      <c r="GR230" s="304"/>
      <c r="GS230" s="304"/>
      <c r="GT230" s="304"/>
      <c r="GU230" s="304"/>
      <c r="GV230" s="305"/>
      <c r="GW230" s="304"/>
      <c r="GX230" s="304"/>
      <c r="GY230" s="304"/>
      <c r="GZ230" s="304"/>
      <c r="HA230" s="304"/>
      <c r="HB230" s="304"/>
      <c r="HC230" s="305"/>
      <c r="HD230" s="304"/>
      <c r="HE230" s="304"/>
      <c r="HF230" s="304"/>
      <c r="HG230" s="304"/>
      <c r="HH230" s="304"/>
      <c r="HI230" s="304"/>
      <c r="HJ230" s="305"/>
      <c r="HK230" s="304"/>
      <c r="HL230" s="304"/>
      <c r="HM230" s="304"/>
      <c r="HN230" s="304"/>
      <c r="HO230" s="304"/>
      <c r="HP230" s="304"/>
      <c r="HQ230" s="305"/>
      <c r="HR230" s="304"/>
      <c r="HS230" s="304"/>
      <c r="HT230" s="304"/>
      <c r="HU230" s="304"/>
      <c r="HV230" s="304"/>
      <c r="HW230" s="304"/>
      <c r="HX230" s="305"/>
      <c r="HY230" s="304"/>
      <c r="HZ230" s="304"/>
      <c r="IA230" s="304"/>
      <c r="IB230" s="304"/>
      <c r="IC230" s="304"/>
      <c r="ID230" s="304"/>
      <c r="IE230" s="305"/>
      <c r="IF230" s="304"/>
      <c r="IG230" s="304"/>
      <c r="IH230" s="304"/>
      <c r="II230" s="304"/>
      <c r="IJ230" s="304"/>
      <c r="IK230" s="304"/>
      <c r="IL230" s="305"/>
      <c r="IM230" s="304"/>
      <c r="IN230" s="304"/>
      <c r="IO230" s="304"/>
      <c r="IP230" s="304"/>
      <c r="IQ230" s="304"/>
      <c r="IR230" s="304"/>
      <c r="IS230" s="305"/>
      <c r="IT230" s="304"/>
      <c r="IU230" s="304"/>
      <c r="IV230" s="304"/>
    </row>
    <row r="231" spans="1:256" s="220" customFormat="1" ht="15.6">
      <c r="A231" s="221"/>
      <c r="J231" s="223"/>
    </row>
    <row r="232" spans="1:256" s="310" customFormat="1" ht="20.25" customHeight="1">
      <c r="A232" s="308" t="s">
        <v>157</v>
      </c>
      <c r="B232" s="309" t="s">
        <v>308</v>
      </c>
      <c r="C232" s="703"/>
      <c r="D232" s="692" t="s">
        <v>435</v>
      </c>
      <c r="E232" s="693"/>
      <c r="F232" s="693"/>
      <c r="G232" s="693"/>
      <c r="H232" s="693"/>
      <c r="I232" s="693"/>
      <c r="J232" s="694"/>
    </row>
    <row r="233" spans="1:256" s="310" customFormat="1" ht="32.25" customHeight="1">
      <c r="A233" s="308" t="s">
        <v>158</v>
      </c>
      <c r="B233" s="311"/>
      <c r="C233" s="704"/>
      <c r="D233" s="695"/>
      <c r="E233" s="696"/>
      <c r="F233" s="696"/>
      <c r="G233" s="696"/>
      <c r="H233" s="696"/>
      <c r="I233" s="696"/>
      <c r="J233" s="697"/>
    </row>
    <row r="234" spans="1:256" s="227" customFormat="1" ht="15.6">
      <c r="A234" s="222"/>
      <c r="B234" s="206"/>
      <c r="C234" s="207"/>
      <c r="D234" s="208" t="s">
        <v>436</v>
      </c>
      <c r="E234" s="209"/>
      <c r="F234" s="209"/>
      <c r="G234" s="207"/>
      <c r="H234" s="207"/>
      <c r="I234" s="210" t="s">
        <v>374</v>
      </c>
      <c r="J234" s="224"/>
    </row>
    <row r="235" spans="1:256" s="227" customFormat="1" ht="15.6">
      <c r="A235" s="698"/>
      <c r="B235" s="699"/>
      <c r="C235" s="211" t="s">
        <v>437</v>
      </c>
      <c r="D235" s="212">
        <f>14+11.3</f>
        <v>25.3</v>
      </c>
      <c r="E235" s="212"/>
      <c r="F235" s="212"/>
      <c r="G235" s="212"/>
      <c r="H235" s="212"/>
      <c r="I235" s="212">
        <f>D235</f>
        <v>25.3</v>
      </c>
      <c r="J235" s="224"/>
    </row>
    <row r="236" spans="1:256" s="227" customFormat="1" ht="15.6">
      <c r="A236" s="700" t="s">
        <v>51</v>
      </c>
      <c r="B236" s="701"/>
      <c r="C236" s="701"/>
      <c r="D236" s="701"/>
      <c r="E236" s="701"/>
      <c r="F236" s="701"/>
      <c r="G236" s="701"/>
      <c r="H236" s="702"/>
      <c r="I236" s="213">
        <f>ROUND(I235,2)</f>
        <v>25.3</v>
      </c>
      <c r="J236" s="225"/>
    </row>
    <row r="237" spans="1:256" s="227" customFormat="1" ht="15.6">
      <c r="A237" s="221"/>
      <c r="J237" s="223"/>
    </row>
    <row r="238" spans="1:256" s="220" customFormat="1" ht="15.6">
      <c r="A238" s="221"/>
      <c r="J238" s="223"/>
    </row>
    <row r="239" spans="1:256" s="220" customFormat="1" ht="15.6">
      <c r="A239" s="221"/>
      <c r="J239" s="223"/>
    </row>
    <row r="240" spans="1:256" s="220" customFormat="1" ht="15.6">
      <c r="A240" s="221"/>
      <c r="J240" s="223"/>
    </row>
    <row r="241" spans="1:10" s="220" customFormat="1" ht="15.6">
      <c r="A241" s="221"/>
      <c r="J241" s="223"/>
    </row>
    <row r="242" spans="1:10" s="220" customFormat="1" ht="15.6">
      <c r="A242" s="221"/>
      <c r="J242" s="223"/>
    </row>
    <row r="243" spans="1:10" s="289" customFormat="1" ht="12" customHeight="1">
      <c r="A243" s="282"/>
      <c r="B243" s="283"/>
      <c r="C243" s="284"/>
      <c r="D243" s="285"/>
      <c r="E243" s="286"/>
      <c r="F243" s="284"/>
      <c r="G243" s="284"/>
      <c r="H243" s="284"/>
      <c r="I243" s="287"/>
      <c r="J243" s="288"/>
    </row>
    <row r="244" spans="1:10" s="220" customFormat="1" ht="15.6">
      <c r="A244" s="290"/>
      <c r="B244" s="291"/>
      <c r="C244" s="291"/>
      <c r="D244" s="291"/>
      <c r="E244" s="291"/>
      <c r="F244" s="291"/>
      <c r="G244" s="291"/>
      <c r="H244" s="291"/>
      <c r="I244" s="291"/>
      <c r="J244" s="292"/>
    </row>
    <row r="245" spans="1:10" s="220" customFormat="1" ht="15.6">
      <c r="A245" s="293"/>
      <c r="B245" s="618" t="s">
        <v>542</v>
      </c>
      <c r="C245" s="618"/>
      <c r="D245" s="618"/>
      <c r="E245" s="618"/>
      <c r="F245" s="618"/>
      <c r="G245" s="618"/>
      <c r="H245" s="294"/>
      <c r="I245" s="289"/>
      <c r="J245" s="295"/>
    </row>
    <row r="246" spans="1:10" s="220" customFormat="1" ht="15.6" customHeight="1">
      <c r="A246" s="296"/>
      <c r="B246" s="614" t="s">
        <v>543</v>
      </c>
      <c r="C246" s="614"/>
      <c r="D246" s="614"/>
      <c r="E246" s="614"/>
      <c r="F246" s="614"/>
      <c r="G246" s="614"/>
      <c r="H246" s="289"/>
      <c r="I246" s="289"/>
      <c r="J246" s="297"/>
    </row>
    <row r="247" spans="1:10" s="220" customFormat="1" ht="15.6">
      <c r="A247" s="296"/>
      <c r="B247" s="298"/>
      <c r="C247" s="298"/>
      <c r="D247" s="298"/>
      <c r="E247" s="298"/>
      <c r="F247" s="298"/>
      <c r="G247" s="298"/>
      <c r="H247" s="289"/>
      <c r="I247" s="289"/>
      <c r="J247" s="297"/>
    </row>
    <row r="248" spans="1:10" s="220" customFormat="1" ht="15.6">
      <c r="A248" s="293"/>
      <c r="B248" s="764"/>
      <c r="C248" s="764"/>
      <c r="D248" s="764"/>
      <c r="E248" s="764"/>
      <c r="F248" s="764"/>
      <c r="G248" s="764"/>
      <c r="H248" s="294"/>
      <c r="I248" s="289"/>
      <c r="J248" s="297"/>
    </row>
    <row r="249" spans="1:10" s="220" customFormat="1" ht="15.6">
      <c r="A249" s="293"/>
      <c r="B249" s="765" t="s">
        <v>544</v>
      </c>
      <c r="C249" s="765"/>
      <c r="D249" s="765"/>
      <c r="E249" s="765"/>
      <c r="F249" s="765"/>
      <c r="G249" s="765"/>
      <c r="H249" s="294"/>
      <c r="I249" s="289"/>
      <c r="J249" s="295"/>
    </row>
    <row r="250" spans="1:10" s="299" customFormat="1" ht="16.2" thickBot="1">
      <c r="A250" s="296"/>
      <c r="B250" s="763" t="s">
        <v>411</v>
      </c>
      <c r="C250" s="763"/>
      <c r="D250" s="763"/>
      <c r="E250" s="763"/>
      <c r="F250" s="763"/>
      <c r="G250" s="763"/>
      <c r="H250" s="289"/>
      <c r="I250" s="289"/>
      <c r="J250" s="297"/>
    </row>
    <row r="251" spans="1:10" s="220" customFormat="1" ht="15.6">
      <c r="A251" s="221"/>
      <c r="J251" s="223"/>
    </row>
    <row r="252" spans="1:10" s="220" customFormat="1" ht="15.6">
      <c r="A252" s="221"/>
      <c r="J252" s="223"/>
    </row>
    <row r="253" spans="1:10" s="220" customFormat="1" ht="15.6">
      <c r="J253" s="223"/>
    </row>
    <row r="254" spans="1:10" s="299" customFormat="1" ht="16.2" thickBot="1">
      <c r="A254" s="300"/>
      <c r="J254" s="301"/>
    </row>
  </sheetData>
  <mergeCells count="202">
    <mergeCell ref="A176:B176"/>
    <mergeCell ref="A177:B177"/>
    <mergeCell ref="A27:B27"/>
    <mergeCell ref="A212:B212"/>
    <mergeCell ref="A213:J213"/>
    <mergeCell ref="A94:B94"/>
    <mergeCell ref="D206:J207"/>
    <mergeCell ref="A208:B209"/>
    <mergeCell ref="C208:C209"/>
    <mergeCell ref="D208:D209"/>
    <mergeCell ref="E208:E209"/>
    <mergeCell ref="F208:F209"/>
    <mergeCell ref="G208:G209"/>
    <mergeCell ref="H208:H209"/>
    <mergeCell ref="I208:I209"/>
    <mergeCell ref="J208:J209"/>
    <mergeCell ref="A205:J205"/>
    <mergeCell ref="A174:B174"/>
    <mergeCell ref="D46:J47"/>
    <mergeCell ref="B44:J44"/>
    <mergeCell ref="D55:J56"/>
    <mergeCell ref="A82:B82"/>
    <mergeCell ref="A83:B83"/>
    <mergeCell ref="A49:B49"/>
    <mergeCell ref="A51:B51"/>
    <mergeCell ref="A78:H78"/>
    <mergeCell ref="A170:H170"/>
    <mergeCell ref="A50:B50"/>
    <mergeCell ref="H200:H201"/>
    <mergeCell ref="I200:I201"/>
    <mergeCell ref="J200:J201"/>
    <mergeCell ref="A204:B204"/>
    <mergeCell ref="D71:J72"/>
    <mergeCell ref="A73:B73"/>
    <mergeCell ref="A74:B74"/>
    <mergeCell ref="A84:B84"/>
    <mergeCell ref="A1:J2"/>
    <mergeCell ref="B3:J3"/>
    <mergeCell ref="B4:J4"/>
    <mergeCell ref="A5:J5"/>
    <mergeCell ref="A53:H53"/>
    <mergeCell ref="D164:J165"/>
    <mergeCell ref="A60:H60"/>
    <mergeCell ref="A58:B58"/>
    <mergeCell ref="A66:B66"/>
    <mergeCell ref="D62:J63"/>
    <mergeCell ref="A197:J197"/>
    <mergeCell ref="D198:J199"/>
    <mergeCell ref="A200:B201"/>
    <mergeCell ref="D200:D201"/>
    <mergeCell ref="E200:E201"/>
    <mergeCell ref="F200:F201"/>
    <mergeCell ref="G200:G201"/>
    <mergeCell ref="B250:G250"/>
    <mergeCell ref="B246:G246"/>
    <mergeCell ref="B245:G245"/>
    <mergeCell ref="B248:G248"/>
    <mergeCell ref="B249:G249"/>
    <mergeCell ref="D172:J173"/>
    <mergeCell ref="A178:H178"/>
    <mergeCell ref="I192:I193"/>
    <mergeCell ref="J192:J193"/>
    <mergeCell ref="A196:B196"/>
    <mergeCell ref="A168:B168"/>
    <mergeCell ref="A169:B169"/>
    <mergeCell ref="A153:B153"/>
    <mergeCell ref="A6:J6"/>
    <mergeCell ref="B7:J7"/>
    <mergeCell ref="A154:H154"/>
    <mergeCell ref="A160:H160"/>
    <mergeCell ref="D121:J122"/>
    <mergeCell ref="B9:J9"/>
    <mergeCell ref="A166:B166"/>
    <mergeCell ref="B162:J162"/>
    <mergeCell ref="A138:B138"/>
    <mergeCell ref="A159:B159"/>
    <mergeCell ref="A139:H139"/>
    <mergeCell ref="A148:H148"/>
    <mergeCell ref="A67:B67"/>
    <mergeCell ref="A85:B85"/>
    <mergeCell ref="A86:B86"/>
    <mergeCell ref="D89:J90"/>
    <mergeCell ref="D80:J81"/>
    <mergeCell ref="A75:B75"/>
    <mergeCell ref="D11:J12"/>
    <mergeCell ref="A14:B14"/>
    <mergeCell ref="A15:H15"/>
    <mergeCell ref="D37:J38"/>
    <mergeCell ref="A40:B40"/>
    <mergeCell ref="A36:J36"/>
    <mergeCell ref="A35:H35"/>
    <mergeCell ref="A34:B34"/>
    <mergeCell ref="D31:J32"/>
    <mergeCell ref="A29:H29"/>
    <mergeCell ref="A152:B152"/>
    <mergeCell ref="A104:B104"/>
    <mergeCell ref="A87:H87"/>
    <mergeCell ref="A91:B91"/>
    <mergeCell ref="A92:B92"/>
    <mergeCell ref="A95:H95"/>
    <mergeCell ref="D97:J98"/>
    <mergeCell ref="A145:B145"/>
    <mergeCell ref="D150:J151"/>
    <mergeCell ref="A110:B110"/>
    <mergeCell ref="A111:H111"/>
    <mergeCell ref="B119:J119"/>
    <mergeCell ref="D141:J142"/>
    <mergeCell ref="A143:B143"/>
    <mergeCell ref="A144:B144"/>
    <mergeCell ref="D133:J134"/>
    <mergeCell ref="A135:B135"/>
    <mergeCell ref="A136:B136"/>
    <mergeCell ref="A125:B125"/>
    <mergeCell ref="H192:H193"/>
    <mergeCell ref="A123:B123"/>
    <mergeCell ref="A131:H131"/>
    <mergeCell ref="A127:B127"/>
    <mergeCell ref="A128:B128"/>
    <mergeCell ref="A129:B129"/>
    <mergeCell ref="A130:B130"/>
    <mergeCell ref="A124:B124"/>
    <mergeCell ref="D156:J157"/>
    <mergeCell ref="A158:B158"/>
    <mergeCell ref="A102:B102"/>
    <mergeCell ref="A103:B103"/>
    <mergeCell ref="A188:B188"/>
    <mergeCell ref="A189:J189"/>
    <mergeCell ref="D190:J191"/>
    <mergeCell ref="A192:B193"/>
    <mergeCell ref="D192:D193"/>
    <mergeCell ref="E192:E193"/>
    <mergeCell ref="F192:F193"/>
    <mergeCell ref="G192:G193"/>
    <mergeCell ref="A105:H105"/>
    <mergeCell ref="D113:J114"/>
    <mergeCell ref="A175:B175"/>
    <mergeCell ref="H184:H185"/>
    <mergeCell ref="I184:I185"/>
    <mergeCell ref="J184:J185"/>
    <mergeCell ref="A116:B116"/>
    <mergeCell ref="A117:H117"/>
    <mergeCell ref="D107:J108"/>
    <mergeCell ref="A109:B109"/>
    <mergeCell ref="A99:B99"/>
    <mergeCell ref="A100:B100"/>
    <mergeCell ref="A101:B101"/>
    <mergeCell ref="A42:H42"/>
    <mergeCell ref="A41:B41"/>
    <mergeCell ref="A77:B77"/>
    <mergeCell ref="A93:B93"/>
    <mergeCell ref="A59:B59"/>
    <mergeCell ref="A65:B65"/>
    <mergeCell ref="A69:H69"/>
    <mergeCell ref="A126:B126"/>
    <mergeCell ref="A146:B146"/>
    <mergeCell ref="A147:B147"/>
    <mergeCell ref="D182:J183"/>
    <mergeCell ref="A184:B185"/>
    <mergeCell ref="D184:D185"/>
    <mergeCell ref="E184:E185"/>
    <mergeCell ref="F184:F185"/>
    <mergeCell ref="G184:G185"/>
    <mergeCell ref="B180:J180"/>
    <mergeCell ref="D24:J25"/>
    <mergeCell ref="A22:H22"/>
    <mergeCell ref="A20:B20"/>
    <mergeCell ref="D17:J18"/>
    <mergeCell ref="A68:B68"/>
    <mergeCell ref="A76:B76"/>
    <mergeCell ref="A21:B21"/>
    <mergeCell ref="A28:B28"/>
    <mergeCell ref="C27:C28"/>
    <mergeCell ref="A54:J54"/>
    <mergeCell ref="D214:J215"/>
    <mergeCell ref="A216:B217"/>
    <mergeCell ref="C216:C217"/>
    <mergeCell ref="D216:D217"/>
    <mergeCell ref="E216:E217"/>
    <mergeCell ref="F216:F217"/>
    <mergeCell ref="G216:G217"/>
    <mergeCell ref="H216:H217"/>
    <mergeCell ref="I216:I217"/>
    <mergeCell ref="A186:B186"/>
    <mergeCell ref="A187:B187"/>
    <mergeCell ref="D222:J223"/>
    <mergeCell ref="A224:B225"/>
    <mergeCell ref="D224:D225"/>
    <mergeCell ref="E224:E225"/>
    <mergeCell ref="F224:F225"/>
    <mergeCell ref="G224:G225"/>
    <mergeCell ref="J216:J217"/>
    <mergeCell ref="A220:B220"/>
    <mergeCell ref="B230:J230"/>
    <mergeCell ref="D232:J233"/>
    <mergeCell ref="A235:B235"/>
    <mergeCell ref="A236:H236"/>
    <mergeCell ref="C232:C233"/>
    <mergeCell ref="H224:H225"/>
    <mergeCell ref="I224:I225"/>
    <mergeCell ref="J224:J225"/>
    <mergeCell ref="A227:B227"/>
    <mergeCell ref="A228:J228"/>
  </mergeCells>
  <phoneticPr fontId="27" type="noConversion"/>
  <printOptions horizontalCentered="1"/>
  <pageMargins left="0.39370078740157483" right="0.39370078740157483" top="0.78740157480314965" bottom="0.78740157480314965" header="0.31496062992125984" footer="0.31496062992125984"/>
  <pageSetup paperSize="9" scale="56" fitToHeight="0" orientation="landscape" r:id="rId1"/>
  <rowBreaks count="2" manualBreakCount="2">
    <brk id="102" max="9" man="1"/>
    <brk id="201" max="9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view="pageBreakPreview" zoomScaleNormal="100" zoomScaleSheetLayoutView="100" workbookViewId="0">
      <selection activeCell="I29" sqref="A1:I29"/>
    </sheetView>
  </sheetViews>
  <sheetFormatPr defaultRowHeight="13.2"/>
  <cols>
    <col min="1" max="1" width="6.44140625" customWidth="1"/>
    <col min="2" max="2" width="28.6640625" customWidth="1"/>
    <col min="3" max="4" width="15.33203125" customWidth="1"/>
    <col min="5" max="5" width="14.6640625" customWidth="1"/>
    <col min="6" max="6" width="15.44140625" customWidth="1"/>
    <col min="7" max="7" width="14.6640625" customWidth="1"/>
  </cols>
  <sheetData>
    <row r="1" spans="1:9" ht="20.25" customHeight="1">
      <c r="A1" s="795" t="s">
        <v>520</v>
      </c>
      <c r="B1" s="796"/>
      <c r="C1" s="796"/>
      <c r="D1" s="796"/>
      <c r="E1" s="796"/>
      <c r="F1" s="796"/>
      <c r="G1" s="796"/>
      <c r="H1" s="796"/>
      <c r="I1" s="797"/>
    </row>
    <row r="2" spans="1:9" s="246" customFormat="1" ht="24.75" customHeight="1">
      <c r="A2" s="802" t="s">
        <v>647</v>
      </c>
      <c r="B2" s="803"/>
      <c r="C2" s="803"/>
      <c r="D2" s="803"/>
      <c r="E2" s="803"/>
      <c r="F2" s="803"/>
      <c r="G2" s="803"/>
      <c r="H2" s="803"/>
      <c r="I2" s="804"/>
    </row>
    <row r="3" spans="1:9" s="246" customFormat="1" ht="24" customHeight="1">
      <c r="A3" s="805" t="s">
        <v>521</v>
      </c>
      <c r="B3" s="806"/>
      <c r="C3" s="806"/>
      <c r="D3" s="806"/>
      <c r="E3" s="806"/>
      <c r="F3" s="806"/>
      <c r="G3" s="806"/>
      <c r="H3" s="806"/>
      <c r="I3" s="807"/>
    </row>
    <row r="4" spans="1:9" s="246" customFormat="1">
      <c r="A4" s="336" t="s">
        <v>534</v>
      </c>
      <c r="B4" s="373" t="s">
        <v>522</v>
      </c>
      <c r="C4" s="373" t="s">
        <v>523</v>
      </c>
      <c r="D4" s="373" t="s">
        <v>524</v>
      </c>
      <c r="E4" s="373" t="s">
        <v>525</v>
      </c>
      <c r="F4" s="373" t="s">
        <v>526</v>
      </c>
      <c r="G4" s="373" t="s">
        <v>527</v>
      </c>
      <c r="H4" s="808" t="s">
        <v>528</v>
      </c>
      <c r="I4" s="809"/>
    </row>
    <row r="5" spans="1:9" s="246" customFormat="1">
      <c r="A5" s="779" t="s">
        <v>535</v>
      </c>
      <c r="B5" s="781" t="s">
        <v>529</v>
      </c>
      <c r="C5" s="793">
        <f>'PLANILHA '!J10</f>
        <v>11980.16</v>
      </c>
      <c r="D5" s="343">
        <v>1</v>
      </c>
      <c r="E5" s="332"/>
      <c r="F5" s="332"/>
      <c r="G5" s="332"/>
      <c r="H5" s="787">
        <f t="shared" ref="H5:H16" si="0">D5+E5+F5+G5</f>
        <v>1</v>
      </c>
      <c r="I5" s="788"/>
    </row>
    <row r="6" spans="1:9" s="246" customFormat="1">
      <c r="A6" s="780"/>
      <c r="B6" s="782"/>
      <c r="C6" s="794"/>
      <c r="D6" s="344">
        <f>C5*D5</f>
        <v>11980.16</v>
      </c>
      <c r="E6" s="333"/>
      <c r="F6" s="333"/>
      <c r="G6" s="333"/>
      <c r="H6" s="789">
        <f t="shared" si="0"/>
        <v>11980.16</v>
      </c>
      <c r="I6" s="790"/>
    </row>
    <row r="7" spans="1:9" s="246" customFormat="1">
      <c r="A7" s="779" t="s">
        <v>536</v>
      </c>
      <c r="B7" s="781" t="s">
        <v>530</v>
      </c>
      <c r="C7" s="793">
        <f>'PLANILHA '!J16</f>
        <v>59463.93</v>
      </c>
      <c r="D7" s="343">
        <v>1</v>
      </c>
      <c r="E7" s="332"/>
      <c r="F7" s="332"/>
      <c r="G7" s="332"/>
      <c r="H7" s="787">
        <f t="shared" si="0"/>
        <v>1</v>
      </c>
      <c r="I7" s="788"/>
    </row>
    <row r="8" spans="1:9" s="246" customFormat="1">
      <c r="A8" s="780"/>
      <c r="B8" s="782"/>
      <c r="C8" s="794"/>
      <c r="D8" s="344">
        <f>C7*D7</f>
        <v>59463.93</v>
      </c>
      <c r="E8" s="333"/>
      <c r="F8" s="333"/>
      <c r="G8" s="333"/>
      <c r="H8" s="789">
        <f t="shared" si="0"/>
        <v>59463.93</v>
      </c>
      <c r="I8" s="790"/>
    </row>
    <row r="9" spans="1:9" s="246" customFormat="1">
      <c r="A9" s="779" t="s">
        <v>537</v>
      </c>
      <c r="B9" s="781" t="s">
        <v>531</v>
      </c>
      <c r="C9" s="793">
        <f>'PLANILHA '!J26</f>
        <v>113613.25</v>
      </c>
      <c r="D9" s="343">
        <v>0.5</v>
      </c>
      <c r="E9" s="343">
        <v>0.5</v>
      </c>
      <c r="F9" s="343"/>
      <c r="G9" s="332"/>
      <c r="H9" s="787">
        <f t="shared" si="0"/>
        <v>1</v>
      </c>
      <c r="I9" s="788"/>
    </row>
    <row r="10" spans="1:9" s="246" customFormat="1">
      <c r="A10" s="780"/>
      <c r="B10" s="782"/>
      <c r="C10" s="794"/>
      <c r="D10" s="344">
        <f>C9*D9</f>
        <v>56806.625</v>
      </c>
      <c r="E10" s="344">
        <f>C9*E9</f>
        <v>56806.625</v>
      </c>
      <c r="F10" s="333"/>
      <c r="G10" s="333"/>
      <c r="H10" s="789">
        <f t="shared" si="0"/>
        <v>113613.25</v>
      </c>
      <c r="I10" s="790"/>
    </row>
    <row r="11" spans="1:9" s="246" customFormat="1">
      <c r="A11" s="779" t="s">
        <v>538</v>
      </c>
      <c r="B11" s="781" t="s">
        <v>532</v>
      </c>
      <c r="C11" s="793">
        <f>'PLANILHA '!J32</f>
        <v>283911.15000000002</v>
      </c>
      <c r="D11" s="332"/>
      <c r="E11" s="343">
        <v>0.25</v>
      </c>
      <c r="F11" s="343">
        <v>0.5</v>
      </c>
      <c r="G11" s="343">
        <v>0.25</v>
      </c>
      <c r="H11" s="787">
        <f t="shared" si="0"/>
        <v>1</v>
      </c>
      <c r="I11" s="788"/>
    </row>
    <row r="12" spans="1:9" s="246" customFormat="1">
      <c r="A12" s="780"/>
      <c r="B12" s="782"/>
      <c r="C12" s="794"/>
      <c r="D12" s="333"/>
      <c r="E12" s="344">
        <f>C11*E11</f>
        <v>70977.787500000006</v>
      </c>
      <c r="F12" s="344">
        <f>C11*F11</f>
        <v>141955.57500000001</v>
      </c>
      <c r="G12" s="344">
        <f>C11*G11</f>
        <v>70977.787500000006</v>
      </c>
      <c r="H12" s="789">
        <f t="shared" si="0"/>
        <v>283911.15000000002</v>
      </c>
      <c r="I12" s="790"/>
    </row>
    <row r="13" spans="1:9" s="246" customFormat="1">
      <c r="A13" s="779" t="s">
        <v>539</v>
      </c>
      <c r="B13" s="800" t="str">
        <f>'PLANILHA '!B35:H35</f>
        <v xml:space="preserve">PAVIMENTAÇÃO </v>
      </c>
      <c r="C13" s="798">
        <f>'PLANILHA '!J35</f>
        <v>1937.62</v>
      </c>
      <c r="D13" s="342"/>
      <c r="E13" s="342"/>
      <c r="F13" s="343"/>
      <c r="G13" s="343">
        <v>1</v>
      </c>
      <c r="H13" s="787">
        <f t="shared" si="0"/>
        <v>1</v>
      </c>
      <c r="I13" s="788"/>
    </row>
    <row r="14" spans="1:9" s="246" customFormat="1">
      <c r="A14" s="780"/>
      <c r="B14" s="801"/>
      <c r="C14" s="799"/>
      <c r="D14" s="342"/>
      <c r="E14" s="342"/>
      <c r="F14" s="342"/>
      <c r="G14" s="344">
        <f>C13*G13</f>
        <v>1937.62</v>
      </c>
      <c r="H14" s="789">
        <f t="shared" si="0"/>
        <v>1937.62</v>
      </c>
      <c r="I14" s="790"/>
    </row>
    <row r="15" spans="1:9" s="246" customFormat="1">
      <c r="A15" s="779" t="s">
        <v>540</v>
      </c>
      <c r="B15" s="781" t="s">
        <v>533</v>
      </c>
      <c r="C15" s="793">
        <f>'PLANILHA '!J42</f>
        <v>21254.28</v>
      </c>
      <c r="D15" s="332"/>
      <c r="E15" s="332"/>
      <c r="F15" s="331"/>
      <c r="G15" s="343">
        <v>1</v>
      </c>
      <c r="H15" s="787">
        <f t="shared" si="0"/>
        <v>1</v>
      </c>
      <c r="I15" s="788"/>
    </row>
    <row r="16" spans="1:9" s="246" customFormat="1">
      <c r="A16" s="780"/>
      <c r="B16" s="782"/>
      <c r="C16" s="794"/>
      <c r="D16" s="333"/>
      <c r="E16" s="333"/>
      <c r="F16" s="333"/>
      <c r="G16" s="344">
        <f>C15*G15</f>
        <v>21254.28</v>
      </c>
      <c r="H16" s="789">
        <f t="shared" si="0"/>
        <v>21254.28</v>
      </c>
      <c r="I16" s="790"/>
    </row>
    <row r="17" spans="1:9" s="246" customFormat="1">
      <c r="A17" s="337"/>
      <c r="B17" s="334"/>
      <c r="C17" s="791">
        <f>SUM(C5:C16)</f>
        <v>492160.39</v>
      </c>
      <c r="D17" s="344">
        <f>SUM(D6+D8+D10+D12+D14+D16)</f>
        <v>128250.715</v>
      </c>
      <c r="E17" s="344">
        <f>SUM(E6+E8+E10+E12+E14+E16)</f>
        <v>127784.41250000001</v>
      </c>
      <c r="F17" s="344">
        <f>SUM(F6+F8+F10+F12+F14+F16)</f>
        <v>141955.57500000001</v>
      </c>
      <c r="G17" s="344">
        <f>SUM(G6+G8+G10+G12+G14+G16)</f>
        <v>94169.6875</v>
      </c>
      <c r="H17" s="783">
        <f>H6+H8+H10+H12+H14+H16</f>
        <v>492160.39</v>
      </c>
      <c r="I17" s="784"/>
    </row>
    <row r="18" spans="1:9" s="246" customFormat="1">
      <c r="A18" s="338"/>
      <c r="B18" s="335"/>
      <c r="C18" s="792"/>
      <c r="D18" s="344">
        <f>D17</f>
        <v>128250.715</v>
      </c>
      <c r="E18" s="344">
        <f>E17+D18</f>
        <v>256035.1275</v>
      </c>
      <c r="F18" s="344">
        <f>F17+E18</f>
        <v>397990.70250000001</v>
      </c>
      <c r="G18" s="344">
        <f>F18+G17</f>
        <v>492160.39</v>
      </c>
      <c r="H18" s="785"/>
      <c r="I18" s="786"/>
    </row>
    <row r="19" spans="1:9" s="246" customFormat="1">
      <c r="A19" s="339"/>
      <c r="B19" s="340"/>
      <c r="C19" s="340"/>
      <c r="D19" s="340"/>
      <c r="E19" s="340"/>
      <c r="F19" s="340"/>
      <c r="G19" s="340"/>
      <c r="H19" s="340"/>
      <c r="I19" s="341"/>
    </row>
    <row r="20" spans="1:9" s="246" customFormat="1">
      <c r="A20" s="274"/>
      <c r="B20" s="273"/>
      <c r="C20" s="273"/>
      <c r="D20" s="273"/>
      <c r="E20" s="273"/>
      <c r="F20" s="273"/>
      <c r="G20" s="273"/>
      <c r="H20" s="273"/>
      <c r="I20" s="245"/>
    </row>
    <row r="21" spans="1:9" s="246" customFormat="1">
      <c r="A21" s="274"/>
      <c r="B21" s="273"/>
      <c r="C21" s="273"/>
      <c r="D21" s="273"/>
      <c r="E21" s="273"/>
      <c r="F21" s="273"/>
      <c r="G21" s="273"/>
      <c r="H21" s="273"/>
      <c r="I21" s="245"/>
    </row>
    <row r="22" spans="1:9" s="246" customFormat="1">
      <c r="A22" s="274"/>
      <c r="B22" s="273"/>
      <c r="C22" s="273"/>
      <c r="D22" s="273"/>
      <c r="E22" s="273"/>
      <c r="F22" s="273"/>
      <c r="G22" s="273"/>
      <c r="H22" s="273"/>
      <c r="I22" s="245"/>
    </row>
    <row r="23" spans="1:9" s="246" customFormat="1">
      <c r="A23" s="274"/>
      <c r="B23" s="273"/>
      <c r="C23" s="273"/>
      <c r="D23" s="273"/>
      <c r="E23" s="273"/>
      <c r="F23" s="273"/>
      <c r="G23" s="273"/>
      <c r="H23" s="273"/>
      <c r="I23" s="245"/>
    </row>
    <row r="24" spans="1:9" s="246" customFormat="1">
      <c r="A24" s="274"/>
      <c r="B24" s="273"/>
      <c r="C24" s="273"/>
      <c r="D24" s="273"/>
      <c r="E24" s="273"/>
      <c r="F24" s="273"/>
      <c r="G24" s="273"/>
      <c r="H24" s="273"/>
      <c r="I24" s="245"/>
    </row>
    <row r="25" spans="1:9" s="246" customFormat="1">
      <c r="A25" s="274"/>
      <c r="B25" s="618" t="s">
        <v>542</v>
      </c>
      <c r="C25" s="618"/>
      <c r="D25" s="347"/>
      <c r="E25" s="618" t="s">
        <v>518</v>
      </c>
      <c r="F25" s="618"/>
      <c r="G25" s="618"/>
      <c r="H25" s="618"/>
      <c r="I25" s="245"/>
    </row>
    <row r="26" spans="1:9" s="246" customFormat="1">
      <c r="A26" s="274"/>
      <c r="B26" s="614" t="s">
        <v>543</v>
      </c>
      <c r="C26" s="614"/>
      <c r="D26" s="347"/>
      <c r="E26" s="273"/>
      <c r="F26" s="273"/>
      <c r="G26" s="273"/>
      <c r="H26" s="273"/>
      <c r="I26" s="245"/>
    </row>
    <row r="27" spans="1:9" s="246" customFormat="1">
      <c r="A27" s="274"/>
      <c r="B27" s="273"/>
      <c r="C27" s="273"/>
      <c r="D27" s="273"/>
      <c r="E27" s="273"/>
      <c r="F27" s="273"/>
      <c r="G27" s="273"/>
      <c r="H27" s="273"/>
      <c r="I27" s="245"/>
    </row>
    <row r="28" spans="1:9" s="246" customFormat="1">
      <c r="A28" s="274"/>
      <c r="B28" s="273"/>
      <c r="C28" s="273"/>
      <c r="D28" s="273"/>
      <c r="E28" s="273"/>
      <c r="F28" s="273"/>
      <c r="G28" s="273"/>
      <c r="H28" s="273"/>
      <c r="I28" s="245"/>
    </row>
    <row r="29" spans="1:9" s="246" customFormat="1" ht="13.8" thickBot="1">
      <c r="A29" s="276"/>
      <c r="B29" s="275"/>
      <c r="C29" s="275"/>
      <c r="D29" s="275"/>
      <c r="E29" s="275"/>
      <c r="F29" s="275"/>
      <c r="G29" s="275"/>
      <c r="H29" s="275"/>
      <c r="I29" s="277"/>
    </row>
  </sheetData>
  <mergeCells count="39">
    <mergeCell ref="H5:I5"/>
    <mergeCell ref="C11:C12"/>
    <mergeCell ref="H11:I11"/>
    <mergeCell ref="H12:I12"/>
    <mergeCell ref="A9:A10"/>
    <mergeCell ref="B9:B10"/>
    <mergeCell ref="H6:I6"/>
    <mergeCell ref="A7:A8"/>
    <mergeCell ref="B7:B8"/>
    <mergeCell ref="C7:C8"/>
    <mergeCell ref="H7:I7"/>
    <mergeCell ref="H8:I8"/>
    <mergeCell ref="A2:I2"/>
    <mergeCell ref="A3:I3"/>
    <mergeCell ref="A15:A16"/>
    <mergeCell ref="B15:B16"/>
    <mergeCell ref="C15:C16"/>
    <mergeCell ref="H15:I15"/>
    <mergeCell ref="H4:I4"/>
    <mergeCell ref="A5:A6"/>
    <mergeCell ref="B5:B6"/>
    <mergeCell ref="C5:C6"/>
    <mergeCell ref="A1:I1"/>
    <mergeCell ref="B26:C26"/>
    <mergeCell ref="B25:C25"/>
    <mergeCell ref="E25:H25"/>
    <mergeCell ref="C13:C14"/>
    <mergeCell ref="A13:A14"/>
    <mergeCell ref="B13:B14"/>
    <mergeCell ref="C9:C10"/>
    <mergeCell ref="A11:A12"/>
    <mergeCell ref="B11:B12"/>
    <mergeCell ref="H17:I18"/>
    <mergeCell ref="H9:I9"/>
    <mergeCell ref="H10:I10"/>
    <mergeCell ref="H13:I13"/>
    <mergeCell ref="H14:I14"/>
    <mergeCell ref="C17:C18"/>
    <mergeCell ref="H16:I16"/>
  </mergeCells>
  <phoneticPr fontId="12" type="noConversion"/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zoomScale="85" zoomScaleNormal="85" workbookViewId="0">
      <selection activeCell="I6" sqref="I6"/>
    </sheetView>
  </sheetViews>
  <sheetFormatPr defaultColWidth="12.33203125" defaultRowHeight="13.2"/>
  <cols>
    <col min="1" max="2" width="12.33203125" customWidth="1"/>
    <col min="3" max="3" width="52.21875" customWidth="1"/>
  </cols>
  <sheetData>
    <row r="1" spans="1:9">
      <c r="A1" s="814" t="s">
        <v>162</v>
      </c>
      <c r="B1" s="815"/>
      <c r="C1" s="815"/>
      <c r="D1" s="815"/>
      <c r="E1" s="815"/>
      <c r="F1" s="815"/>
      <c r="G1" s="816"/>
      <c r="H1" s="817"/>
      <c r="I1" s="818"/>
    </row>
    <row r="2" spans="1:9">
      <c r="A2" s="349" t="s">
        <v>572</v>
      </c>
      <c r="B2" s="819" t="s">
        <v>645</v>
      </c>
      <c r="C2" s="819"/>
      <c r="D2" s="820"/>
      <c r="E2" s="821"/>
      <c r="F2" s="350" t="s">
        <v>573</v>
      </c>
      <c r="G2" s="351">
        <v>45566</v>
      </c>
    </row>
    <row r="3" spans="1:9">
      <c r="A3" s="352" t="s">
        <v>574</v>
      </c>
      <c r="B3" s="822" t="s">
        <v>575</v>
      </c>
      <c r="C3" s="823"/>
      <c r="D3" s="353" t="s">
        <v>105</v>
      </c>
      <c r="E3" s="353" t="s">
        <v>598</v>
      </c>
      <c r="F3" s="350" t="s">
        <v>167</v>
      </c>
      <c r="G3" s="354" t="s">
        <v>154</v>
      </c>
    </row>
    <row r="4" spans="1:9">
      <c r="A4" s="824"/>
      <c r="B4" s="825"/>
      <c r="C4" s="825"/>
      <c r="D4" s="825"/>
      <c r="E4" s="825"/>
      <c r="F4" s="825"/>
      <c r="G4" s="826"/>
    </row>
    <row r="5" spans="1:9" ht="27.6">
      <c r="A5" s="355" t="s">
        <v>576</v>
      </c>
      <c r="B5" s="356" t="s">
        <v>577</v>
      </c>
      <c r="C5" s="356" t="s">
        <v>578</v>
      </c>
      <c r="D5" s="356" t="s">
        <v>579</v>
      </c>
      <c r="E5" s="356" t="s">
        <v>580</v>
      </c>
      <c r="F5" s="356" t="s">
        <v>581</v>
      </c>
      <c r="G5" s="357" t="s">
        <v>582</v>
      </c>
    </row>
    <row r="6" spans="1:9" ht="45" customHeight="1">
      <c r="A6" s="355" t="s">
        <v>583</v>
      </c>
      <c r="B6" s="358">
        <v>5839</v>
      </c>
      <c r="C6" s="358" t="s">
        <v>584</v>
      </c>
      <c r="D6" s="356" t="s">
        <v>585</v>
      </c>
      <c r="E6" s="356" t="s">
        <v>586</v>
      </c>
      <c r="F6" s="359">
        <v>9.31</v>
      </c>
      <c r="G6" s="360">
        <f t="shared" ref="G6:G13" si="0">ROUNDDOWN(E6*F6,2)</f>
        <v>0.01</v>
      </c>
    </row>
    <row r="7" spans="1:9" ht="46.2" customHeight="1">
      <c r="A7" s="355" t="s">
        <v>583</v>
      </c>
      <c r="B7" s="358">
        <v>5841</v>
      </c>
      <c r="C7" s="358" t="s">
        <v>584</v>
      </c>
      <c r="D7" s="356" t="s">
        <v>587</v>
      </c>
      <c r="E7" s="356" t="s">
        <v>588</v>
      </c>
      <c r="F7" s="361">
        <v>4.68</v>
      </c>
      <c r="G7" s="360">
        <f t="shared" si="0"/>
        <v>0.01</v>
      </c>
    </row>
    <row r="8" spans="1:9" s="366" customFormat="1" ht="29.4" customHeight="1">
      <c r="A8" s="362" t="s">
        <v>589</v>
      </c>
      <c r="B8" s="363" t="s">
        <v>590</v>
      </c>
      <c r="C8" s="363" t="s">
        <v>591</v>
      </c>
      <c r="D8" s="364" t="s">
        <v>592</v>
      </c>
      <c r="E8" s="364">
        <v>1.1999999999999999E-3</v>
      </c>
      <c r="F8" s="365">
        <v>5295.75</v>
      </c>
      <c r="G8" s="360">
        <f t="shared" si="0"/>
        <v>6.35</v>
      </c>
    </row>
    <row r="9" spans="1:9" ht="82.2" customHeight="1">
      <c r="A9" s="355" t="s">
        <v>583</v>
      </c>
      <c r="B9" s="358">
        <v>83362</v>
      </c>
      <c r="C9" s="358" t="s">
        <v>593</v>
      </c>
      <c r="D9" s="356" t="s">
        <v>585</v>
      </c>
      <c r="E9" s="356" t="s">
        <v>594</v>
      </c>
      <c r="F9" s="359">
        <v>257.02999999999997</v>
      </c>
      <c r="G9" s="360">
        <f t="shared" si="0"/>
        <v>0.25</v>
      </c>
    </row>
    <row r="10" spans="1:9" ht="36.6" customHeight="1">
      <c r="A10" s="355" t="s">
        <v>583</v>
      </c>
      <c r="B10" s="358">
        <v>88316</v>
      </c>
      <c r="C10" s="358" t="s">
        <v>595</v>
      </c>
      <c r="D10" s="356" t="s">
        <v>182</v>
      </c>
      <c r="E10" s="356">
        <v>5.7999999999999996E-3</v>
      </c>
      <c r="F10" s="359">
        <v>18.53</v>
      </c>
      <c r="G10" s="360">
        <f t="shared" si="0"/>
        <v>0.1</v>
      </c>
    </row>
    <row r="11" spans="1:9" ht="42.6" customHeight="1">
      <c r="A11" s="355" t="s">
        <v>583</v>
      </c>
      <c r="B11" s="358" t="s">
        <v>596</v>
      </c>
      <c r="C11" s="358" t="s">
        <v>597</v>
      </c>
      <c r="D11" s="356" t="s">
        <v>585</v>
      </c>
      <c r="E11" s="356">
        <v>1.6999999999999999E-3</v>
      </c>
      <c r="F11" s="359">
        <v>133.37</v>
      </c>
      <c r="G11" s="360">
        <f t="shared" si="0"/>
        <v>0.22</v>
      </c>
    </row>
    <row r="12" spans="1:9" ht="54.6" customHeight="1">
      <c r="A12" s="355" t="s">
        <v>583</v>
      </c>
      <c r="B12" s="358">
        <v>89036</v>
      </c>
      <c r="C12" s="358" t="s">
        <v>597</v>
      </c>
      <c r="D12" s="356" t="s">
        <v>587</v>
      </c>
      <c r="E12" s="356">
        <v>4.1000000000000003E-3</v>
      </c>
      <c r="F12" s="359">
        <v>50.58</v>
      </c>
      <c r="G12" s="360">
        <f t="shared" si="0"/>
        <v>0.2</v>
      </c>
    </row>
    <row r="13" spans="1:9" ht="89.4" customHeight="1">
      <c r="A13" s="355" t="s">
        <v>583</v>
      </c>
      <c r="B13" s="358">
        <v>91486</v>
      </c>
      <c r="C13" s="358" t="s">
        <v>593</v>
      </c>
      <c r="D13" s="356" t="s">
        <v>587</v>
      </c>
      <c r="E13" s="356">
        <v>4.8999999999999998E-3</v>
      </c>
      <c r="F13" s="359">
        <v>65.239999999999995</v>
      </c>
      <c r="G13" s="360">
        <f t="shared" si="0"/>
        <v>0.31</v>
      </c>
    </row>
    <row r="14" spans="1:9">
      <c r="A14" s="827" t="s">
        <v>186</v>
      </c>
      <c r="B14" s="820"/>
      <c r="C14" s="821"/>
      <c r="D14" s="367">
        <v>1</v>
      </c>
      <c r="E14" s="828" t="s">
        <v>187</v>
      </c>
      <c r="F14" s="821"/>
      <c r="G14" s="368">
        <f>SUM(G6:G13)</f>
        <v>7.4499999999999984</v>
      </c>
    </row>
    <row r="15" spans="1:9">
      <c r="A15" s="810" t="s">
        <v>51</v>
      </c>
      <c r="B15" s="811"/>
      <c r="C15" s="811"/>
      <c r="D15" s="812"/>
      <c r="E15" s="812"/>
      <c r="F15" s="813"/>
      <c r="G15" s="369">
        <f>G14/D14</f>
        <v>7.4499999999999984</v>
      </c>
    </row>
  </sheetData>
  <mergeCells count="8">
    <mergeCell ref="A15:F15"/>
    <mergeCell ref="A1:G1"/>
    <mergeCell ref="H1:I1"/>
    <mergeCell ref="B2:E2"/>
    <mergeCell ref="B3:C3"/>
    <mergeCell ref="A4:G4"/>
    <mergeCell ref="A14:C14"/>
    <mergeCell ref="E14:F14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9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8"/>
  <sheetViews>
    <sheetView view="pageBreakPreview" zoomScale="85" zoomScaleNormal="85" zoomScaleSheetLayoutView="85" workbookViewId="0">
      <selection activeCell="A149" sqref="A149"/>
    </sheetView>
  </sheetViews>
  <sheetFormatPr defaultRowHeight="13.2"/>
  <cols>
    <col min="2" max="2" width="47.33203125" customWidth="1"/>
    <col min="3" max="3" width="9.109375" customWidth="1"/>
    <col min="4" max="4" width="9.5546875" bestFit="1" customWidth="1"/>
    <col min="5" max="5" width="11.5546875" bestFit="1" customWidth="1"/>
    <col min="6" max="6" width="10" customWidth="1"/>
    <col min="7" max="7" width="11" customWidth="1"/>
    <col min="8" max="8" width="12.109375" customWidth="1"/>
    <col min="9" max="9" width="14" customWidth="1"/>
  </cols>
  <sheetData>
    <row r="1" spans="1:9">
      <c r="A1" s="123" t="s">
        <v>243</v>
      </c>
      <c r="B1" s="124"/>
      <c r="C1" s="124"/>
      <c r="D1" s="124"/>
      <c r="E1" s="125"/>
      <c r="F1" s="126"/>
      <c r="G1" s="127"/>
      <c r="H1" s="128"/>
      <c r="I1" s="129"/>
    </row>
    <row r="2" spans="1:9" ht="13.8" thickBot="1">
      <c r="A2" s="849" t="s">
        <v>161</v>
      </c>
      <c r="B2" s="850"/>
      <c r="C2" s="850"/>
      <c r="D2" s="850"/>
      <c r="E2" s="850"/>
      <c r="F2" s="850"/>
      <c r="G2" s="850"/>
      <c r="H2" s="850"/>
      <c r="I2" s="851"/>
    </row>
    <row r="3" spans="1:9" ht="15" customHeight="1">
      <c r="A3" s="852"/>
      <c r="B3" s="853"/>
      <c r="C3" s="854" t="s">
        <v>162</v>
      </c>
      <c r="D3" s="855"/>
      <c r="E3" s="855"/>
      <c r="F3" s="855"/>
      <c r="G3" s="855"/>
      <c r="H3" s="856"/>
      <c r="I3" s="130" t="s">
        <v>163</v>
      </c>
    </row>
    <row r="4" spans="1:9">
      <c r="A4" s="857" t="s">
        <v>164</v>
      </c>
      <c r="B4" s="858"/>
      <c r="C4" s="858"/>
      <c r="D4" s="858"/>
      <c r="E4" s="858"/>
      <c r="F4" s="858"/>
      <c r="G4" s="859"/>
      <c r="H4" s="131" t="s">
        <v>165</v>
      </c>
      <c r="I4" s="132">
        <v>42917</v>
      </c>
    </row>
    <row r="5" spans="1:9" ht="12.75" customHeight="1">
      <c r="A5" s="860" t="s">
        <v>166</v>
      </c>
      <c r="B5" s="861"/>
      <c r="C5" s="861"/>
      <c r="D5" s="861"/>
      <c r="E5" s="861"/>
      <c r="F5" s="861"/>
      <c r="G5" s="862"/>
      <c r="H5" s="133" t="s">
        <v>167</v>
      </c>
      <c r="I5" s="134" t="s">
        <v>168</v>
      </c>
    </row>
    <row r="6" spans="1:9">
      <c r="A6" s="829" t="s">
        <v>169</v>
      </c>
      <c r="B6" s="830"/>
      <c r="C6" s="830"/>
      <c r="D6" s="830"/>
      <c r="E6" s="830"/>
      <c r="F6" s="830"/>
      <c r="G6" s="830"/>
      <c r="H6" s="830"/>
      <c r="I6" s="831"/>
    </row>
    <row r="7" spans="1:9">
      <c r="A7" s="857" t="s">
        <v>170</v>
      </c>
      <c r="B7" s="859"/>
      <c r="C7" s="135" t="s">
        <v>171</v>
      </c>
      <c r="D7" s="136" t="s">
        <v>172</v>
      </c>
      <c r="E7" s="136" t="s">
        <v>173</v>
      </c>
      <c r="F7" s="136" t="s">
        <v>174</v>
      </c>
      <c r="G7" s="136" t="s">
        <v>175</v>
      </c>
      <c r="H7" s="137" t="s">
        <v>176</v>
      </c>
      <c r="I7" s="135" t="s">
        <v>177</v>
      </c>
    </row>
    <row r="8" spans="1:9">
      <c r="A8" s="863"/>
      <c r="B8" s="864"/>
      <c r="C8" s="138"/>
      <c r="D8" s="138"/>
      <c r="E8" s="138"/>
      <c r="F8" s="139"/>
      <c r="G8" s="139"/>
      <c r="H8" s="140"/>
      <c r="I8" s="140">
        <f>G8*D8</f>
        <v>0</v>
      </c>
    </row>
    <row r="9" spans="1:9">
      <c r="A9" s="835" t="s">
        <v>178</v>
      </c>
      <c r="B9" s="837"/>
      <c r="C9" s="837"/>
      <c r="D9" s="837"/>
      <c r="E9" s="837"/>
      <c r="F9" s="837"/>
      <c r="G9" s="837"/>
      <c r="H9" s="836"/>
      <c r="I9" s="141">
        <f>SUM(I8)</f>
        <v>0</v>
      </c>
    </row>
    <row r="10" spans="1:9">
      <c r="A10" s="829" t="s">
        <v>179</v>
      </c>
      <c r="B10" s="830"/>
      <c r="C10" s="830"/>
      <c r="D10" s="830"/>
      <c r="E10" s="830"/>
      <c r="F10" s="830"/>
      <c r="G10" s="830"/>
      <c r="H10" s="830"/>
      <c r="I10" s="831"/>
    </row>
    <row r="11" spans="1:9">
      <c r="A11" s="829" t="s">
        <v>170</v>
      </c>
      <c r="B11" s="831"/>
      <c r="C11" s="138" t="s">
        <v>171</v>
      </c>
      <c r="D11" s="139" t="s">
        <v>172</v>
      </c>
      <c r="E11" s="139" t="s">
        <v>45</v>
      </c>
      <c r="F11" s="139"/>
      <c r="G11" s="139"/>
      <c r="H11" s="138" t="s">
        <v>180</v>
      </c>
      <c r="I11" s="138" t="s">
        <v>177</v>
      </c>
    </row>
    <row r="12" spans="1:9" s="148" customFormat="1" ht="65.25" customHeight="1">
      <c r="A12" s="865" t="s">
        <v>181</v>
      </c>
      <c r="B12" s="866"/>
      <c r="C12" s="142" t="s">
        <v>182</v>
      </c>
      <c r="D12" s="143">
        <v>42</v>
      </c>
      <c r="E12" s="144" t="s">
        <v>201</v>
      </c>
      <c r="F12" s="145"/>
      <c r="G12" s="145"/>
      <c r="H12" s="146">
        <v>29.84</v>
      </c>
      <c r="I12" s="147">
        <f>(D12*H12)</f>
        <v>1253.28</v>
      </c>
    </row>
    <row r="13" spans="1:9" ht="60.75" customHeight="1">
      <c r="A13" s="865" t="s">
        <v>183</v>
      </c>
      <c r="B13" s="866"/>
      <c r="C13" s="142" t="s">
        <v>182</v>
      </c>
      <c r="D13" s="143">
        <v>36</v>
      </c>
      <c r="E13" s="144" t="s">
        <v>201</v>
      </c>
      <c r="F13" s="145"/>
      <c r="G13" s="145"/>
      <c r="H13" s="146">
        <v>110.22</v>
      </c>
      <c r="I13" s="147">
        <f>(D13*H13)</f>
        <v>3967.92</v>
      </c>
    </row>
    <row r="14" spans="1:9">
      <c r="A14" s="832" t="s">
        <v>178</v>
      </c>
      <c r="B14" s="833"/>
      <c r="C14" s="833"/>
      <c r="D14" s="833"/>
      <c r="E14" s="833"/>
      <c r="F14" s="833"/>
      <c r="G14" s="833"/>
      <c r="H14" s="834"/>
      <c r="I14" s="140">
        <f>SUM(I12:I13)</f>
        <v>5221.2</v>
      </c>
    </row>
    <row r="15" spans="1:9">
      <c r="A15" s="829" t="s">
        <v>184</v>
      </c>
      <c r="B15" s="830"/>
      <c r="C15" s="830"/>
      <c r="D15" s="830"/>
      <c r="E15" s="830"/>
      <c r="F15" s="830"/>
      <c r="G15" s="830"/>
      <c r="H15" s="830"/>
      <c r="I15" s="831"/>
    </row>
    <row r="16" spans="1:9">
      <c r="A16" s="857" t="s">
        <v>170</v>
      </c>
      <c r="B16" s="859"/>
      <c r="C16" s="149" t="s">
        <v>171</v>
      </c>
      <c r="D16" s="149" t="s">
        <v>172</v>
      </c>
      <c r="E16" s="149" t="s">
        <v>45</v>
      </c>
      <c r="F16" s="149"/>
      <c r="G16" s="149"/>
      <c r="H16" s="138" t="s">
        <v>180</v>
      </c>
      <c r="I16" s="150" t="s">
        <v>177</v>
      </c>
    </row>
    <row r="17" spans="1:9">
      <c r="A17" s="151"/>
      <c r="B17" s="152"/>
      <c r="C17" s="149"/>
      <c r="D17" s="149"/>
      <c r="E17" s="149"/>
      <c r="F17" s="149"/>
      <c r="G17" s="149"/>
      <c r="H17" s="138"/>
      <c r="I17" s="140">
        <f>D17*H17</f>
        <v>0</v>
      </c>
    </row>
    <row r="18" spans="1:9">
      <c r="A18" s="835" t="s">
        <v>178</v>
      </c>
      <c r="B18" s="837"/>
      <c r="C18" s="837"/>
      <c r="D18" s="837"/>
      <c r="E18" s="837"/>
      <c r="F18" s="837"/>
      <c r="G18" s="837"/>
      <c r="H18" s="836"/>
      <c r="I18" s="153">
        <f>SUM(I17)</f>
        <v>0</v>
      </c>
    </row>
    <row r="19" spans="1:9">
      <c r="A19" s="829" t="s">
        <v>185</v>
      </c>
      <c r="B19" s="830"/>
      <c r="C19" s="830"/>
      <c r="D19" s="830"/>
      <c r="E19" s="830"/>
      <c r="F19" s="830"/>
      <c r="G19" s="830"/>
      <c r="H19" s="830"/>
      <c r="I19" s="831"/>
    </row>
    <row r="20" spans="1:9">
      <c r="A20" s="829" t="s">
        <v>170</v>
      </c>
      <c r="B20" s="831"/>
      <c r="C20" s="138" t="s">
        <v>171</v>
      </c>
      <c r="D20" s="139" t="s">
        <v>172</v>
      </c>
      <c r="E20" s="139" t="s">
        <v>45</v>
      </c>
      <c r="F20" s="139"/>
      <c r="G20" s="139"/>
      <c r="H20" s="138" t="s">
        <v>180</v>
      </c>
      <c r="I20" s="138" t="s">
        <v>177</v>
      </c>
    </row>
    <row r="21" spans="1:9" ht="27" customHeight="1">
      <c r="A21" s="865" t="s">
        <v>252</v>
      </c>
      <c r="B21" s="866"/>
      <c r="C21" s="146" t="s">
        <v>182</v>
      </c>
      <c r="D21" s="143">
        <v>32</v>
      </c>
      <c r="E21" s="146">
        <v>6127</v>
      </c>
      <c r="F21" s="145"/>
      <c r="G21" s="145"/>
      <c r="H21" s="154">
        <v>9.99</v>
      </c>
      <c r="I21" s="154">
        <f>D21*H21</f>
        <v>319.68</v>
      </c>
    </row>
    <row r="22" spans="1:9">
      <c r="A22" s="867"/>
      <c r="B22" s="868"/>
      <c r="C22" s="146"/>
      <c r="D22" s="143"/>
      <c r="E22" s="146"/>
      <c r="F22" s="145"/>
      <c r="G22" s="145"/>
      <c r="H22" s="154"/>
      <c r="I22" s="154">
        <f>D22*H22</f>
        <v>0</v>
      </c>
    </row>
    <row r="23" spans="1:9">
      <c r="A23" s="832" t="s">
        <v>178</v>
      </c>
      <c r="B23" s="833"/>
      <c r="C23" s="833"/>
      <c r="D23" s="833"/>
      <c r="E23" s="833"/>
      <c r="F23" s="833"/>
      <c r="G23" s="833"/>
      <c r="H23" s="834"/>
      <c r="I23" s="155">
        <f>SUM(I21:I22)</f>
        <v>319.68</v>
      </c>
    </row>
    <row r="24" spans="1:9">
      <c r="A24" s="835" t="s">
        <v>186</v>
      </c>
      <c r="B24" s="836"/>
      <c r="C24" s="156">
        <v>1</v>
      </c>
      <c r="D24" s="835" t="s">
        <v>187</v>
      </c>
      <c r="E24" s="837"/>
      <c r="F24" s="837"/>
      <c r="G24" s="837"/>
      <c r="H24" s="836"/>
      <c r="I24" s="141">
        <f>I23+I18+I14+I9</f>
        <v>5540.88</v>
      </c>
    </row>
    <row r="25" spans="1:9">
      <c r="A25" s="838" t="s">
        <v>188</v>
      </c>
      <c r="B25" s="839"/>
      <c r="C25" s="839"/>
      <c r="D25" s="839"/>
      <c r="E25" s="839"/>
      <c r="F25" s="839"/>
      <c r="G25" s="839"/>
      <c r="H25" s="840"/>
      <c r="I25" s="153">
        <f>I24/C24</f>
        <v>5540.88</v>
      </c>
    </row>
    <row r="26" spans="1:9">
      <c r="A26" s="838" t="s">
        <v>189</v>
      </c>
      <c r="B26" s="839"/>
      <c r="C26" s="839"/>
      <c r="D26" s="839"/>
      <c r="E26" s="839"/>
      <c r="F26" s="839"/>
      <c r="G26" s="839"/>
      <c r="H26" s="840"/>
      <c r="I26" s="153">
        <v>1</v>
      </c>
    </row>
    <row r="27" spans="1:9">
      <c r="A27" s="869" t="s">
        <v>190</v>
      </c>
      <c r="B27" s="870"/>
      <c r="C27" s="870"/>
      <c r="D27" s="870"/>
      <c r="E27" s="870"/>
      <c r="F27" s="870"/>
      <c r="G27" s="870"/>
      <c r="H27" s="871"/>
      <c r="I27" s="157">
        <f>I25*I26</f>
        <v>5540.88</v>
      </c>
    </row>
    <row r="28" spans="1:9" ht="11.25" customHeight="1">
      <c r="A28" s="857"/>
      <c r="B28" s="858"/>
      <c r="C28" s="858"/>
      <c r="D28" s="858"/>
      <c r="E28" s="858"/>
      <c r="F28" s="858"/>
      <c r="G28" s="858"/>
      <c r="H28" s="858"/>
      <c r="I28" s="859"/>
    </row>
    <row r="29" spans="1:9" ht="15" customHeight="1">
      <c r="A29" s="872"/>
      <c r="B29" s="873"/>
      <c r="C29" s="874" t="s">
        <v>162</v>
      </c>
      <c r="D29" s="875"/>
      <c r="E29" s="875"/>
      <c r="F29" s="875"/>
      <c r="G29" s="875"/>
      <c r="H29" s="876"/>
      <c r="I29" s="130" t="s">
        <v>191</v>
      </c>
    </row>
    <row r="30" spans="1:9">
      <c r="A30" s="857" t="s">
        <v>164</v>
      </c>
      <c r="B30" s="858"/>
      <c r="C30" s="858"/>
      <c r="D30" s="858"/>
      <c r="E30" s="858"/>
      <c r="F30" s="858"/>
      <c r="G30" s="859"/>
      <c r="H30" s="131" t="s">
        <v>165</v>
      </c>
      <c r="I30" s="132">
        <v>42917</v>
      </c>
    </row>
    <row r="31" spans="1:9" ht="12.75" customHeight="1">
      <c r="A31" s="860" t="s">
        <v>192</v>
      </c>
      <c r="B31" s="861"/>
      <c r="C31" s="861"/>
      <c r="D31" s="861"/>
      <c r="E31" s="861"/>
      <c r="F31" s="861"/>
      <c r="G31" s="862"/>
      <c r="H31" s="133" t="s">
        <v>167</v>
      </c>
      <c r="I31" s="138" t="s">
        <v>151</v>
      </c>
    </row>
    <row r="32" spans="1:9">
      <c r="A32" s="829" t="s">
        <v>169</v>
      </c>
      <c r="B32" s="830"/>
      <c r="C32" s="830"/>
      <c r="D32" s="830"/>
      <c r="E32" s="830"/>
      <c r="F32" s="830"/>
      <c r="G32" s="830"/>
      <c r="H32" s="830"/>
      <c r="I32" s="831"/>
    </row>
    <row r="33" spans="1:9">
      <c r="A33" s="857" t="s">
        <v>170</v>
      </c>
      <c r="B33" s="859"/>
      <c r="C33" s="135" t="s">
        <v>171</v>
      </c>
      <c r="D33" s="136" t="s">
        <v>172</v>
      </c>
      <c r="E33" s="136" t="s">
        <v>173</v>
      </c>
      <c r="F33" s="136" t="s">
        <v>174</v>
      </c>
      <c r="G33" s="136" t="s">
        <v>175</v>
      </c>
      <c r="H33" s="137" t="s">
        <v>176</v>
      </c>
      <c r="I33" s="135" t="s">
        <v>177</v>
      </c>
    </row>
    <row r="34" spans="1:9">
      <c r="A34" s="863"/>
      <c r="B34" s="864"/>
      <c r="C34" s="138"/>
      <c r="D34" s="138"/>
      <c r="E34" s="138"/>
      <c r="F34" s="139"/>
      <c r="G34" s="139"/>
      <c r="H34" s="140"/>
      <c r="I34" s="140">
        <f>G34*D34</f>
        <v>0</v>
      </c>
    </row>
    <row r="35" spans="1:9">
      <c r="A35" s="835" t="s">
        <v>178</v>
      </c>
      <c r="B35" s="837"/>
      <c r="C35" s="837"/>
      <c r="D35" s="837"/>
      <c r="E35" s="837"/>
      <c r="F35" s="837"/>
      <c r="G35" s="837"/>
      <c r="H35" s="836"/>
      <c r="I35" s="141">
        <f>SUM(I34)</f>
        <v>0</v>
      </c>
    </row>
    <row r="36" spans="1:9">
      <c r="A36" s="829" t="s">
        <v>179</v>
      </c>
      <c r="B36" s="830"/>
      <c r="C36" s="830"/>
      <c r="D36" s="830"/>
      <c r="E36" s="830"/>
      <c r="F36" s="830"/>
      <c r="G36" s="830"/>
      <c r="H36" s="830"/>
      <c r="I36" s="831"/>
    </row>
    <row r="37" spans="1:9">
      <c r="A37" s="829" t="s">
        <v>170</v>
      </c>
      <c r="B37" s="831"/>
      <c r="C37" s="138" t="s">
        <v>171</v>
      </c>
      <c r="D37" s="139" t="s">
        <v>172</v>
      </c>
      <c r="E37" s="139" t="s">
        <v>45</v>
      </c>
      <c r="F37" s="139"/>
      <c r="G37" s="139"/>
      <c r="H37" s="138" t="s">
        <v>180</v>
      </c>
      <c r="I37" s="138" t="s">
        <v>177</v>
      </c>
    </row>
    <row r="38" spans="1:9" s="148" customFormat="1" ht="21.75" customHeight="1">
      <c r="A38" s="865" t="s">
        <v>193</v>
      </c>
      <c r="B38" s="866"/>
      <c r="C38" s="142" t="s">
        <v>153</v>
      </c>
      <c r="D38" s="143">
        <f>6.698/133.93</f>
        <v>5.001119988053461E-2</v>
      </c>
      <c r="E38" s="144">
        <v>93358</v>
      </c>
      <c r="F38" s="145"/>
      <c r="G38" s="145"/>
      <c r="H38" s="146">
        <v>48.26</v>
      </c>
      <c r="I38" s="147">
        <f>(D38*H38)</f>
        <v>2.4135405062346003</v>
      </c>
    </row>
    <row r="39" spans="1:9" ht="43.5" customHeight="1">
      <c r="A39" s="865" t="s">
        <v>130</v>
      </c>
      <c r="B39" s="866"/>
      <c r="C39" s="142" t="s">
        <v>153</v>
      </c>
      <c r="D39" s="143">
        <f>4.018/133.93</f>
        <v>3.0000746658702303E-2</v>
      </c>
      <c r="E39" s="144">
        <v>94963</v>
      </c>
      <c r="F39" s="145"/>
      <c r="G39" s="145"/>
      <c r="H39" s="146">
        <v>234.35</v>
      </c>
      <c r="I39" s="147">
        <f>(D39*H39)</f>
        <v>7.0306749794668848</v>
      </c>
    </row>
    <row r="40" spans="1:9" ht="40.5" customHeight="1">
      <c r="A40" s="865" t="s">
        <v>194</v>
      </c>
      <c r="B40" s="866"/>
      <c r="C40" s="142" t="s">
        <v>154</v>
      </c>
      <c r="D40" s="143">
        <f>53.57/133.93</f>
        <v>0.39998506682595386</v>
      </c>
      <c r="E40" s="144">
        <v>92265</v>
      </c>
      <c r="F40" s="145"/>
      <c r="G40" s="145"/>
      <c r="H40" s="146">
        <v>52.76</v>
      </c>
      <c r="I40" s="147">
        <f>(D40*H40)</f>
        <v>21.103212125737326</v>
      </c>
    </row>
    <row r="41" spans="1:9" ht="24.75" customHeight="1">
      <c r="A41" s="865" t="s">
        <v>195</v>
      </c>
      <c r="B41" s="866"/>
      <c r="C41" s="142" t="s">
        <v>153</v>
      </c>
      <c r="D41" s="143">
        <f>2.51/133.93</f>
        <v>1.87411334279101E-2</v>
      </c>
      <c r="E41" s="144" t="s">
        <v>196</v>
      </c>
      <c r="F41" s="145"/>
      <c r="G41" s="145"/>
      <c r="H41" s="146">
        <v>36.6</v>
      </c>
      <c r="I41" s="147">
        <f>(D41*H41)</f>
        <v>0.68592548346150972</v>
      </c>
    </row>
    <row r="42" spans="1:9">
      <c r="A42" s="832" t="s">
        <v>178</v>
      </c>
      <c r="B42" s="833"/>
      <c r="C42" s="833"/>
      <c r="D42" s="833"/>
      <c r="E42" s="833"/>
      <c r="F42" s="833"/>
      <c r="G42" s="833"/>
      <c r="H42" s="834"/>
      <c r="I42" s="140">
        <f>SUM(I38:I41)</f>
        <v>31.23335309490032</v>
      </c>
    </row>
    <row r="43" spans="1:9">
      <c r="A43" s="829" t="s">
        <v>184</v>
      </c>
      <c r="B43" s="830"/>
      <c r="C43" s="830"/>
      <c r="D43" s="830"/>
      <c r="E43" s="830"/>
      <c r="F43" s="830"/>
      <c r="G43" s="830"/>
      <c r="H43" s="830"/>
      <c r="I43" s="831"/>
    </row>
    <row r="44" spans="1:9">
      <c r="A44" s="857" t="s">
        <v>170</v>
      </c>
      <c r="B44" s="859"/>
      <c r="C44" s="149" t="s">
        <v>171</v>
      </c>
      <c r="D44" s="149" t="s">
        <v>172</v>
      </c>
      <c r="E44" s="149" t="s">
        <v>45</v>
      </c>
      <c r="F44" s="149"/>
      <c r="G44" s="149"/>
      <c r="H44" s="138" t="s">
        <v>180</v>
      </c>
      <c r="I44" s="150" t="s">
        <v>177</v>
      </c>
    </row>
    <row r="45" spans="1:9">
      <c r="A45" s="151"/>
      <c r="B45" s="152"/>
      <c r="C45" s="149"/>
      <c r="D45" s="149"/>
      <c r="E45" s="149"/>
      <c r="F45" s="149"/>
      <c r="G45" s="149"/>
      <c r="H45" s="138"/>
      <c r="I45" s="140">
        <f>D45*H45</f>
        <v>0</v>
      </c>
    </row>
    <row r="46" spans="1:9" ht="15.75" customHeight="1">
      <c r="A46" s="835" t="s">
        <v>178</v>
      </c>
      <c r="B46" s="837"/>
      <c r="C46" s="837"/>
      <c r="D46" s="837"/>
      <c r="E46" s="837"/>
      <c r="F46" s="837"/>
      <c r="G46" s="837"/>
      <c r="H46" s="836"/>
      <c r="I46" s="153">
        <f>SUM(I45)</f>
        <v>0</v>
      </c>
    </row>
    <row r="47" spans="1:9">
      <c r="A47" s="829" t="s">
        <v>185</v>
      </c>
      <c r="B47" s="830"/>
      <c r="C47" s="830"/>
      <c r="D47" s="830"/>
      <c r="E47" s="830"/>
      <c r="F47" s="830"/>
      <c r="G47" s="830"/>
      <c r="H47" s="830"/>
      <c r="I47" s="831"/>
    </row>
    <row r="48" spans="1:9">
      <c r="A48" s="829" t="s">
        <v>170</v>
      </c>
      <c r="B48" s="831"/>
      <c r="C48" s="138" t="s">
        <v>171</v>
      </c>
      <c r="D48" s="139" t="s">
        <v>172</v>
      </c>
      <c r="E48" s="139" t="s">
        <v>45</v>
      </c>
      <c r="F48" s="139"/>
      <c r="G48" s="139"/>
      <c r="H48" s="138" t="s">
        <v>180</v>
      </c>
      <c r="I48" s="138" t="s">
        <v>177</v>
      </c>
    </row>
    <row r="49" spans="1:9" ht="15" customHeight="1">
      <c r="A49" s="865"/>
      <c r="B49" s="866"/>
      <c r="C49" s="146"/>
      <c r="D49" s="143"/>
      <c r="E49" s="146"/>
      <c r="F49" s="145"/>
      <c r="G49" s="145"/>
      <c r="H49" s="154"/>
      <c r="I49" s="154">
        <f>D49*H49</f>
        <v>0</v>
      </c>
    </row>
    <row r="50" spans="1:9">
      <c r="A50" s="832" t="s">
        <v>178</v>
      </c>
      <c r="B50" s="833"/>
      <c r="C50" s="833"/>
      <c r="D50" s="833"/>
      <c r="E50" s="833"/>
      <c r="F50" s="833"/>
      <c r="G50" s="833"/>
      <c r="H50" s="834"/>
      <c r="I50" s="155">
        <f>SUM(I49:I49)</f>
        <v>0</v>
      </c>
    </row>
    <row r="51" spans="1:9">
      <c r="A51" s="835" t="s">
        <v>186</v>
      </c>
      <c r="B51" s="836"/>
      <c r="C51" s="156">
        <v>1</v>
      </c>
      <c r="D51" s="835" t="s">
        <v>187</v>
      </c>
      <c r="E51" s="837"/>
      <c r="F51" s="837"/>
      <c r="G51" s="837"/>
      <c r="H51" s="836"/>
      <c r="I51" s="141">
        <f>I50+I46+I42+I35</f>
        <v>31.23335309490032</v>
      </c>
    </row>
    <row r="52" spans="1:9">
      <c r="A52" s="838" t="s">
        <v>188</v>
      </c>
      <c r="B52" s="839"/>
      <c r="C52" s="839"/>
      <c r="D52" s="839"/>
      <c r="E52" s="839"/>
      <c r="F52" s="839"/>
      <c r="G52" s="839"/>
      <c r="H52" s="840"/>
      <c r="I52" s="153">
        <f>I51/C51</f>
        <v>31.23335309490032</v>
      </c>
    </row>
    <row r="53" spans="1:9">
      <c r="A53" s="838" t="s">
        <v>189</v>
      </c>
      <c r="B53" s="839"/>
      <c r="C53" s="839"/>
      <c r="D53" s="839"/>
      <c r="E53" s="839"/>
      <c r="F53" s="839"/>
      <c r="G53" s="839"/>
      <c r="H53" s="840"/>
      <c r="I53" s="153">
        <v>1</v>
      </c>
    </row>
    <row r="54" spans="1:9">
      <c r="A54" s="869" t="s">
        <v>190</v>
      </c>
      <c r="B54" s="870"/>
      <c r="C54" s="870"/>
      <c r="D54" s="870"/>
      <c r="E54" s="870"/>
      <c r="F54" s="870"/>
      <c r="G54" s="870"/>
      <c r="H54" s="871"/>
      <c r="I54" s="157">
        <f>I52*I53</f>
        <v>31.23335309490032</v>
      </c>
    </row>
    <row r="55" spans="1:9" ht="15" customHeight="1">
      <c r="A55" s="877"/>
      <c r="B55" s="545"/>
      <c r="C55" s="545"/>
      <c r="D55" s="545"/>
      <c r="E55" s="545"/>
      <c r="F55" s="545"/>
      <c r="G55" s="545"/>
      <c r="H55" s="545"/>
      <c r="I55" s="878"/>
    </row>
    <row r="56" spans="1:9" ht="15" customHeight="1">
      <c r="A56" s="872"/>
      <c r="B56" s="873"/>
      <c r="C56" s="874" t="s">
        <v>162</v>
      </c>
      <c r="D56" s="875"/>
      <c r="E56" s="875"/>
      <c r="F56" s="875"/>
      <c r="G56" s="875"/>
      <c r="H56" s="876"/>
      <c r="I56" s="130" t="s">
        <v>197</v>
      </c>
    </row>
    <row r="57" spans="1:9">
      <c r="A57" s="857" t="s">
        <v>164</v>
      </c>
      <c r="B57" s="858"/>
      <c r="C57" s="858"/>
      <c r="D57" s="858"/>
      <c r="E57" s="858"/>
      <c r="F57" s="858"/>
      <c r="G57" s="859"/>
      <c r="H57" s="131" t="s">
        <v>165</v>
      </c>
      <c r="I57" s="132">
        <v>42917</v>
      </c>
    </row>
    <row r="58" spans="1:9" ht="26.25" customHeight="1">
      <c r="A58" s="860" t="s">
        <v>126</v>
      </c>
      <c r="B58" s="861"/>
      <c r="C58" s="861"/>
      <c r="D58" s="861"/>
      <c r="E58" s="861"/>
      <c r="F58" s="861"/>
      <c r="G58" s="862"/>
      <c r="H58" s="133" t="s">
        <v>167</v>
      </c>
      <c r="I58" s="138" t="s">
        <v>154</v>
      </c>
    </row>
    <row r="59" spans="1:9">
      <c r="A59" s="829" t="s">
        <v>169</v>
      </c>
      <c r="B59" s="830"/>
      <c r="C59" s="830"/>
      <c r="D59" s="830"/>
      <c r="E59" s="830"/>
      <c r="F59" s="830"/>
      <c r="G59" s="830"/>
      <c r="H59" s="830"/>
      <c r="I59" s="831"/>
    </row>
    <row r="60" spans="1:9">
      <c r="A60" s="857" t="s">
        <v>170</v>
      </c>
      <c r="B60" s="859"/>
      <c r="C60" s="135" t="s">
        <v>171</v>
      </c>
      <c r="D60" s="136" t="s">
        <v>172</v>
      </c>
      <c r="E60" s="136" t="s">
        <v>173</v>
      </c>
      <c r="F60" s="136" t="s">
        <v>174</v>
      </c>
      <c r="G60" s="136" t="s">
        <v>175</v>
      </c>
      <c r="H60" s="137" t="s">
        <v>176</v>
      </c>
      <c r="I60" s="135" t="s">
        <v>177</v>
      </c>
    </row>
    <row r="61" spans="1:9">
      <c r="A61" s="863"/>
      <c r="B61" s="864"/>
      <c r="C61" s="138"/>
      <c r="D61" s="138"/>
      <c r="E61" s="138"/>
      <c r="F61" s="139"/>
      <c r="G61" s="139"/>
      <c r="H61" s="140"/>
      <c r="I61" s="140">
        <f>G61*D61</f>
        <v>0</v>
      </c>
    </row>
    <row r="62" spans="1:9">
      <c r="A62" s="835" t="s">
        <v>178</v>
      </c>
      <c r="B62" s="837"/>
      <c r="C62" s="837"/>
      <c r="D62" s="837"/>
      <c r="E62" s="837"/>
      <c r="F62" s="837"/>
      <c r="G62" s="837"/>
      <c r="H62" s="836"/>
      <c r="I62" s="141">
        <f>SUM(I61)</f>
        <v>0</v>
      </c>
    </row>
    <row r="63" spans="1:9">
      <c r="A63" s="829" t="s">
        <v>179</v>
      </c>
      <c r="B63" s="830"/>
      <c r="C63" s="830"/>
      <c r="D63" s="830"/>
      <c r="E63" s="830"/>
      <c r="F63" s="830"/>
      <c r="G63" s="830"/>
      <c r="H63" s="830"/>
      <c r="I63" s="831"/>
    </row>
    <row r="64" spans="1:9">
      <c r="A64" s="829" t="s">
        <v>170</v>
      </c>
      <c r="B64" s="831"/>
      <c r="C64" s="138" t="s">
        <v>171</v>
      </c>
      <c r="D64" s="139" t="s">
        <v>172</v>
      </c>
      <c r="E64" s="139" t="s">
        <v>45</v>
      </c>
      <c r="F64" s="139"/>
      <c r="G64" s="139"/>
      <c r="H64" s="138" t="s">
        <v>180</v>
      </c>
      <c r="I64" s="138" t="s">
        <v>177</v>
      </c>
    </row>
    <row r="65" spans="1:9" s="148" customFormat="1" ht="21.75" customHeight="1">
      <c r="A65" s="865" t="s">
        <v>198</v>
      </c>
      <c r="B65" s="866"/>
      <c r="C65" s="142" t="s">
        <v>199</v>
      </c>
      <c r="D65" s="143">
        <v>14.58</v>
      </c>
      <c r="E65" s="144">
        <v>1379</v>
      </c>
      <c r="F65" s="145"/>
      <c r="G65" s="145"/>
      <c r="H65" s="158">
        <v>0.37</v>
      </c>
      <c r="I65" s="147">
        <f>(D65*H65)</f>
        <v>5.3945999999999996</v>
      </c>
    </row>
    <row r="66" spans="1:9" ht="43.5" customHeight="1">
      <c r="A66" s="865" t="s">
        <v>200</v>
      </c>
      <c r="B66" s="866"/>
      <c r="C66" s="142" t="s">
        <v>153</v>
      </c>
      <c r="D66" s="143">
        <v>3.6600000000000001E-2</v>
      </c>
      <c r="E66" s="144">
        <v>366</v>
      </c>
      <c r="F66" s="145"/>
      <c r="G66" s="145"/>
      <c r="H66" s="158">
        <v>59.86</v>
      </c>
      <c r="I66" s="147">
        <f>(D66*H66)</f>
        <v>2.1908759999999998</v>
      </c>
    </row>
    <row r="67" spans="1:9" ht="40.5" customHeight="1">
      <c r="A67" s="865" t="s">
        <v>279</v>
      </c>
      <c r="B67" s="866"/>
      <c r="C67" s="142" t="s">
        <v>154</v>
      </c>
      <c r="D67" s="143">
        <v>1</v>
      </c>
      <c r="E67" s="144" t="s">
        <v>201</v>
      </c>
      <c r="F67" s="145"/>
      <c r="G67" s="145"/>
      <c r="H67" s="158">
        <v>38.5</v>
      </c>
      <c r="I67" s="147">
        <f>(D67*H67)</f>
        <v>38.5</v>
      </c>
    </row>
    <row r="68" spans="1:9" ht="40.5" customHeight="1">
      <c r="A68" s="865" t="s">
        <v>202</v>
      </c>
      <c r="B68" s="866"/>
      <c r="C68" s="142" t="s">
        <v>199</v>
      </c>
      <c r="D68" s="143">
        <v>0.6</v>
      </c>
      <c r="E68" s="144">
        <v>7325</v>
      </c>
      <c r="F68" s="145"/>
      <c r="G68" s="145"/>
      <c r="H68" s="158">
        <v>4.34</v>
      </c>
      <c r="I68" s="147">
        <f>(D68*H68)</f>
        <v>2.6039999999999996</v>
      </c>
    </row>
    <row r="69" spans="1:9">
      <c r="A69" s="832" t="s">
        <v>178</v>
      </c>
      <c r="B69" s="833"/>
      <c r="C69" s="833"/>
      <c r="D69" s="833"/>
      <c r="E69" s="833"/>
      <c r="F69" s="833"/>
      <c r="G69" s="833"/>
      <c r="H69" s="834"/>
      <c r="I69" s="140">
        <f>SUM(I65:I68)</f>
        <v>48.689475999999999</v>
      </c>
    </row>
    <row r="70" spans="1:9">
      <c r="A70" s="829" t="s">
        <v>184</v>
      </c>
      <c r="B70" s="830"/>
      <c r="C70" s="830"/>
      <c r="D70" s="830"/>
      <c r="E70" s="830"/>
      <c r="F70" s="830"/>
      <c r="G70" s="830"/>
      <c r="H70" s="830"/>
      <c r="I70" s="831"/>
    </row>
    <row r="71" spans="1:9">
      <c r="A71" s="857" t="s">
        <v>170</v>
      </c>
      <c r="B71" s="859"/>
      <c r="C71" s="149" t="s">
        <v>171</v>
      </c>
      <c r="D71" s="149" t="s">
        <v>172</v>
      </c>
      <c r="E71" s="149" t="s">
        <v>45</v>
      </c>
      <c r="F71" s="149"/>
      <c r="G71" s="149"/>
      <c r="H71" s="138" t="s">
        <v>180</v>
      </c>
      <c r="I71" s="150" t="s">
        <v>177</v>
      </c>
    </row>
    <row r="72" spans="1:9" ht="15" customHeight="1">
      <c r="A72" s="865" t="s">
        <v>203</v>
      </c>
      <c r="B72" s="866"/>
      <c r="C72" s="146" t="s">
        <v>182</v>
      </c>
      <c r="D72" s="149">
        <v>0.64</v>
      </c>
      <c r="E72" s="149">
        <v>4750</v>
      </c>
      <c r="F72" s="149"/>
      <c r="G72" s="149"/>
      <c r="H72" s="158">
        <v>13.73</v>
      </c>
      <c r="I72" s="140">
        <f>D72*H72</f>
        <v>8.7872000000000003</v>
      </c>
    </row>
    <row r="73" spans="1:9" ht="15" customHeight="1">
      <c r="A73" s="865" t="s">
        <v>204</v>
      </c>
      <c r="B73" s="866"/>
      <c r="C73" s="146" t="s">
        <v>182</v>
      </c>
      <c r="D73" s="149">
        <v>0.26</v>
      </c>
      <c r="E73" s="149">
        <v>6127</v>
      </c>
      <c r="F73" s="149"/>
      <c r="G73" s="149"/>
      <c r="H73" s="158">
        <v>9.99</v>
      </c>
      <c r="I73" s="140">
        <f>D73*H73</f>
        <v>2.5973999999999999</v>
      </c>
    </row>
    <row r="74" spans="1:9" ht="15.75" customHeight="1">
      <c r="A74" s="835" t="s">
        <v>178</v>
      </c>
      <c r="B74" s="837"/>
      <c r="C74" s="837"/>
      <c r="D74" s="837"/>
      <c r="E74" s="837"/>
      <c r="F74" s="837"/>
      <c r="G74" s="837"/>
      <c r="H74" s="836"/>
      <c r="I74" s="153">
        <f>SUM(I72:I73)</f>
        <v>11.384600000000001</v>
      </c>
    </row>
    <row r="75" spans="1:9">
      <c r="A75" s="829" t="s">
        <v>185</v>
      </c>
      <c r="B75" s="830"/>
      <c r="C75" s="830"/>
      <c r="D75" s="830"/>
      <c r="E75" s="830"/>
      <c r="F75" s="830"/>
      <c r="G75" s="830"/>
      <c r="H75" s="830"/>
      <c r="I75" s="831"/>
    </row>
    <row r="76" spans="1:9">
      <c r="A76" s="829" t="s">
        <v>170</v>
      </c>
      <c r="B76" s="831"/>
      <c r="C76" s="138" t="s">
        <v>171</v>
      </c>
      <c r="D76" s="139" t="s">
        <v>172</v>
      </c>
      <c r="E76" s="139" t="s">
        <v>45</v>
      </c>
      <c r="F76" s="139"/>
      <c r="G76" s="139"/>
      <c r="H76" s="138" t="s">
        <v>180</v>
      </c>
      <c r="I76" s="138" t="s">
        <v>177</v>
      </c>
    </row>
    <row r="77" spans="1:9" ht="15" customHeight="1">
      <c r="A77" s="865"/>
      <c r="B77" s="866"/>
      <c r="C77" s="146"/>
      <c r="D77" s="143"/>
      <c r="E77" s="146"/>
      <c r="F77" s="145"/>
      <c r="G77" s="145"/>
      <c r="H77" s="154"/>
      <c r="I77" s="154">
        <f>D77*H77</f>
        <v>0</v>
      </c>
    </row>
    <row r="78" spans="1:9">
      <c r="A78" s="832" t="s">
        <v>178</v>
      </c>
      <c r="B78" s="833"/>
      <c r="C78" s="833"/>
      <c r="D78" s="833"/>
      <c r="E78" s="833"/>
      <c r="F78" s="833"/>
      <c r="G78" s="833"/>
      <c r="H78" s="834"/>
      <c r="I78" s="155">
        <f>SUM(I77:I77)</f>
        <v>0</v>
      </c>
    </row>
    <row r="79" spans="1:9">
      <c r="A79" s="835" t="s">
        <v>186</v>
      </c>
      <c r="B79" s="836"/>
      <c r="C79" s="156">
        <v>1</v>
      </c>
      <c r="D79" s="835" t="s">
        <v>187</v>
      </c>
      <c r="E79" s="837"/>
      <c r="F79" s="837"/>
      <c r="G79" s="837"/>
      <c r="H79" s="836"/>
      <c r="I79" s="141">
        <f>I78+I74+I69+I62</f>
        <v>60.074075999999998</v>
      </c>
    </row>
    <row r="80" spans="1:9">
      <c r="A80" s="838" t="s">
        <v>188</v>
      </c>
      <c r="B80" s="839"/>
      <c r="C80" s="839"/>
      <c r="D80" s="839"/>
      <c r="E80" s="839"/>
      <c r="F80" s="839"/>
      <c r="G80" s="839"/>
      <c r="H80" s="840"/>
      <c r="I80" s="153">
        <f>I79/C79</f>
        <v>60.074075999999998</v>
      </c>
    </row>
    <row r="81" spans="1:9">
      <c r="A81" s="838" t="s">
        <v>189</v>
      </c>
      <c r="B81" s="839"/>
      <c r="C81" s="839"/>
      <c r="D81" s="839"/>
      <c r="E81" s="839"/>
      <c r="F81" s="839"/>
      <c r="G81" s="839"/>
      <c r="H81" s="840"/>
      <c r="I81" s="153">
        <v>1</v>
      </c>
    </row>
    <row r="82" spans="1:9">
      <c r="A82" s="869" t="s">
        <v>190</v>
      </c>
      <c r="B82" s="870"/>
      <c r="C82" s="870"/>
      <c r="D82" s="870"/>
      <c r="E82" s="870"/>
      <c r="F82" s="870"/>
      <c r="G82" s="870"/>
      <c r="H82" s="871"/>
      <c r="I82" s="157">
        <f>I80*I81</f>
        <v>60.074075999999998</v>
      </c>
    </row>
    <row r="83" spans="1:9">
      <c r="A83" s="877"/>
      <c r="B83" s="545"/>
      <c r="C83" s="545"/>
      <c r="D83" s="545"/>
      <c r="E83" s="545"/>
      <c r="F83" s="545"/>
      <c r="G83" s="545"/>
      <c r="H83" s="545"/>
      <c r="I83" s="878"/>
    </row>
    <row r="84" spans="1:9" ht="15" customHeight="1">
      <c r="A84" s="872"/>
      <c r="B84" s="873"/>
      <c r="C84" s="874" t="s">
        <v>162</v>
      </c>
      <c r="D84" s="875"/>
      <c r="E84" s="875"/>
      <c r="F84" s="875"/>
      <c r="G84" s="875"/>
      <c r="H84" s="876"/>
      <c r="I84" s="130" t="s">
        <v>205</v>
      </c>
    </row>
    <row r="85" spans="1:9">
      <c r="A85" s="857" t="s">
        <v>164</v>
      </c>
      <c r="B85" s="858"/>
      <c r="C85" s="858"/>
      <c r="D85" s="858"/>
      <c r="E85" s="858"/>
      <c r="F85" s="858"/>
      <c r="G85" s="859"/>
      <c r="H85" s="131" t="s">
        <v>165</v>
      </c>
      <c r="I85" s="132">
        <v>42917</v>
      </c>
    </row>
    <row r="86" spans="1:9" ht="26.25" customHeight="1">
      <c r="A86" s="860" t="s">
        <v>127</v>
      </c>
      <c r="B86" s="861"/>
      <c r="C86" s="861"/>
      <c r="D86" s="861"/>
      <c r="E86" s="861"/>
      <c r="F86" s="861"/>
      <c r="G86" s="862"/>
      <c r="H86" s="133" t="s">
        <v>167</v>
      </c>
      <c r="I86" s="138" t="s">
        <v>154</v>
      </c>
    </row>
    <row r="87" spans="1:9">
      <c r="A87" s="829" t="s">
        <v>169</v>
      </c>
      <c r="B87" s="830"/>
      <c r="C87" s="830"/>
      <c r="D87" s="830"/>
      <c r="E87" s="830"/>
      <c r="F87" s="830"/>
      <c r="G87" s="830"/>
      <c r="H87" s="830"/>
      <c r="I87" s="831"/>
    </row>
    <row r="88" spans="1:9">
      <c r="A88" s="857" t="s">
        <v>170</v>
      </c>
      <c r="B88" s="859"/>
      <c r="C88" s="135" t="s">
        <v>171</v>
      </c>
      <c r="D88" s="136" t="s">
        <v>172</v>
      </c>
      <c r="E88" s="136" t="s">
        <v>173</v>
      </c>
      <c r="F88" s="136" t="s">
        <v>174</v>
      </c>
      <c r="G88" s="136" t="s">
        <v>175</v>
      </c>
      <c r="H88" s="137" t="s">
        <v>176</v>
      </c>
      <c r="I88" s="135" t="s">
        <v>177</v>
      </c>
    </row>
    <row r="89" spans="1:9">
      <c r="A89" s="863"/>
      <c r="B89" s="864"/>
      <c r="C89" s="138"/>
      <c r="D89" s="138"/>
      <c r="E89" s="138"/>
      <c r="F89" s="139"/>
      <c r="G89" s="139"/>
      <c r="H89" s="140"/>
      <c r="I89" s="140">
        <f>G89*D89</f>
        <v>0</v>
      </c>
    </row>
    <row r="90" spans="1:9">
      <c r="A90" s="835" t="s">
        <v>178</v>
      </c>
      <c r="B90" s="837"/>
      <c r="C90" s="837"/>
      <c r="D90" s="837"/>
      <c r="E90" s="837"/>
      <c r="F90" s="837"/>
      <c r="G90" s="837"/>
      <c r="H90" s="836"/>
      <c r="I90" s="141">
        <f>SUM(I89)</f>
        <v>0</v>
      </c>
    </row>
    <row r="91" spans="1:9">
      <c r="A91" s="829" t="s">
        <v>179</v>
      </c>
      <c r="B91" s="830"/>
      <c r="C91" s="830"/>
      <c r="D91" s="830"/>
      <c r="E91" s="830"/>
      <c r="F91" s="830"/>
      <c r="G91" s="830"/>
      <c r="H91" s="830"/>
      <c r="I91" s="831"/>
    </row>
    <row r="92" spans="1:9">
      <c r="A92" s="829" t="s">
        <v>170</v>
      </c>
      <c r="B92" s="831"/>
      <c r="C92" s="138" t="s">
        <v>171</v>
      </c>
      <c r="D92" s="139" t="s">
        <v>172</v>
      </c>
      <c r="E92" s="139" t="s">
        <v>45</v>
      </c>
      <c r="F92" s="139"/>
      <c r="G92" s="139"/>
      <c r="H92" s="138" t="s">
        <v>180</v>
      </c>
      <c r="I92" s="138" t="s">
        <v>177</v>
      </c>
    </row>
    <row r="93" spans="1:9" s="148" customFormat="1" ht="21.75" customHeight="1">
      <c r="A93" s="865" t="s">
        <v>198</v>
      </c>
      <c r="B93" s="866"/>
      <c r="C93" s="142" t="s">
        <v>199</v>
      </c>
      <c r="D93" s="143">
        <v>14.58</v>
      </c>
      <c r="E93" s="144">
        <v>1379</v>
      </c>
      <c r="F93" s="145"/>
      <c r="G93" s="145"/>
      <c r="H93" s="158">
        <v>0.37</v>
      </c>
      <c r="I93" s="147">
        <f>(D93*H93)</f>
        <v>5.3945999999999996</v>
      </c>
    </row>
    <row r="94" spans="1:9" ht="43.5" customHeight="1">
      <c r="A94" s="865" t="s">
        <v>200</v>
      </c>
      <c r="B94" s="866"/>
      <c r="C94" s="142" t="s">
        <v>153</v>
      </c>
      <c r="D94" s="143">
        <v>3.6600000000000001E-2</v>
      </c>
      <c r="E94" s="144">
        <v>366</v>
      </c>
      <c r="F94" s="145"/>
      <c r="G94" s="145"/>
      <c r="H94" s="158">
        <v>59.86</v>
      </c>
      <c r="I94" s="147">
        <f>(D94*H94)</f>
        <v>2.1908759999999998</v>
      </c>
    </row>
    <row r="95" spans="1:9" ht="40.5" customHeight="1">
      <c r="A95" s="865" t="s">
        <v>280</v>
      </c>
      <c r="B95" s="866"/>
      <c r="C95" s="142" t="s">
        <v>154</v>
      </c>
      <c r="D95" s="143">
        <v>1</v>
      </c>
      <c r="E95" s="144" t="s">
        <v>201</v>
      </c>
      <c r="F95" s="145"/>
      <c r="G95" s="145"/>
      <c r="H95" s="158">
        <v>52.2</v>
      </c>
      <c r="I95" s="147">
        <f>(D95*H95)</f>
        <v>52.2</v>
      </c>
    </row>
    <row r="96" spans="1:9" ht="40.5" customHeight="1">
      <c r="A96" s="865" t="s">
        <v>202</v>
      </c>
      <c r="B96" s="866"/>
      <c r="C96" s="142" t="s">
        <v>199</v>
      </c>
      <c r="D96" s="143">
        <v>0.6</v>
      </c>
      <c r="E96" s="144">
        <v>7325</v>
      </c>
      <c r="F96" s="145"/>
      <c r="G96" s="145"/>
      <c r="H96" s="158">
        <v>4.34</v>
      </c>
      <c r="I96" s="147">
        <f>(D96*H96)</f>
        <v>2.6039999999999996</v>
      </c>
    </row>
    <row r="97" spans="1:9">
      <c r="A97" s="832" t="s">
        <v>178</v>
      </c>
      <c r="B97" s="833"/>
      <c r="C97" s="833"/>
      <c r="D97" s="833"/>
      <c r="E97" s="833"/>
      <c r="F97" s="833"/>
      <c r="G97" s="833"/>
      <c r="H97" s="834"/>
      <c r="I97" s="140">
        <f>SUM(I93:I96)</f>
        <v>62.389476000000002</v>
      </c>
    </row>
    <row r="98" spans="1:9">
      <c r="A98" s="829" t="s">
        <v>184</v>
      </c>
      <c r="B98" s="830"/>
      <c r="C98" s="830"/>
      <c r="D98" s="830"/>
      <c r="E98" s="830"/>
      <c r="F98" s="830"/>
      <c r="G98" s="830"/>
      <c r="H98" s="830"/>
      <c r="I98" s="831"/>
    </row>
    <row r="99" spans="1:9">
      <c r="A99" s="857" t="s">
        <v>170</v>
      </c>
      <c r="B99" s="859"/>
      <c r="C99" s="149" t="s">
        <v>171</v>
      </c>
      <c r="D99" s="149" t="s">
        <v>172</v>
      </c>
      <c r="E99" s="149" t="s">
        <v>45</v>
      </c>
      <c r="F99" s="149"/>
      <c r="G99" s="149"/>
      <c r="H99" s="138" t="s">
        <v>180</v>
      </c>
      <c r="I99" s="150" t="s">
        <v>177</v>
      </c>
    </row>
    <row r="100" spans="1:9" ht="15" customHeight="1">
      <c r="A100" s="865" t="s">
        <v>203</v>
      </c>
      <c r="B100" s="866"/>
      <c r="C100" s="146" t="s">
        <v>182</v>
      </c>
      <c r="D100" s="149">
        <v>0.64</v>
      </c>
      <c r="E100" s="149">
        <v>4750</v>
      </c>
      <c r="F100" s="149"/>
      <c r="G100" s="149"/>
      <c r="H100" s="158">
        <v>13.73</v>
      </c>
      <c r="I100" s="140">
        <f>D100*H100</f>
        <v>8.7872000000000003</v>
      </c>
    </row>
    <row r="101" spans="1:9" ht="15" customHeight="1">
      <c r="A101" s="865" t="s">
        <v>204</v>
      </c>
      <c r="B101" s="866"/>
      <c r="C101" s="146" t="s">
        <v>182</v>
      </c>
      <c r="D101" s="149">
        <v>0.26</v>
      </c>
      <c r="E101" s="149">
        <v>6127</v>
      </c>
      <c r="F101" s="149"/>
      <c r="G101" s="149"/>
      <c r="H101" s="158">
        <v>9.99</v>
      </c>
      <c r="I101" s="140">
        <f>D101*H101</f>
        <v>2.5973999999999999</v>
      </c>
    </row>
    <row r="102" spans="1:9" ht="15.75" customHeight="1">
      <c r="A102" s="835" t="s">
        <v>178</v>
      </c>
      <c r="B102" s="837"/>
      <c r="C102" s="837"/>
      <c r="D102" s="837"/>
      <c r="E102" s="837"/>
      <c r="F102" s="837"/>
      <c r="G102" s="837"/>
      <c r="H102" s="836"/>
      <c r="I102" s="153">
        <f>SUM(I100:I101)</f>
        <v>11.384600000000001</v>
      </c>
    </row>
    <row r="103" spans="1:9">
      <c r="A103" s="829" t="s">
        <v>185</v>
      </c>
      <c r="B103" s="830"/>
      <c r="C103" s="830"/>
      <c r="D103" s="830"/>
      <c r="E103" s="830"/>
      <c r="F103" s="830"/>
      <c r="G103" s="830"/>
      <c r="H103" s="830"/>
      <c r="I103" s="831"/>
    </row>
    <row r="104" spans="1:9">
      <c r="A104" s="829" t="s">
        <v>170</v>
      </c>
      <c r="B104" s="831"/>
      <c r="C104" s="138" t="s">
        <v>171</v>
      </c>
      <c r="D104" s="139" t="s">
        <v>172</v>
      </c>
      <c r="E104" s="139" t="s">
        <v>45</v>
      </c>
      <c r="F104" s="139"/>
      <c r="G104" s="139"/>
      <c r="H104" s="138" t="s">
        <v>180</v>
      </c>
      <c r="I104" s="138" t="s">
        <v>177</v>
      </c>
    </row>
    <row r="105" spans="1:9" ht="15" customHeight="1">
      <c r="A105" s="865"/>
      <c r="B105" s="866"/>
      <c r="C105" s="146"/>
      <c r="D105" s="143"/>
      <c r="E105" s="146"/>
      <c r="F105" s="145"/>
      <c r="G105" s="145"/>
      <c r="H105" s="154"/>
      <c r="I105" s="154">
        <f>D105*H105</f>
        <v>0</v>
      </c>
    </row>
    <row r="106" spans="1:9">
      <c r="A106" s="832" t="s">
        <v>178</v>
      </c>
      <c r="B106" s="833"/>
      <c r="C106" s="833"/>
      <c r="D106" s="833"/>
      <c r="E106" s="833"/>
      <c r="F106" s="833"/>
      <c r="G106" s="833"/>
      <c r="H106" s="834"/>
      <c r="I106" s="155">
        <f>SUM(I105:I105)</f>
        <v>0</v>
      </c>
    </row>
    <row r="107" spans="1:9">
      <c r="A107" s="835" t="s">
        <v>186</v>
      </c>
      <c r="B107" s="836"/>
      <c r="C107" s="156">
        <v>1</v>
      </c>
      <c r="D107" s="835" t="s">
        <v>187</v>
      </c>
      <c r="E107" s="837"/>
      <c r="F107" s="837"/>
      <c r="G107" s="837"/>
      <c r="H107" s="836"/>
      <c r="I107" s="141">
        <f>I106+I102+I97+I90</f>
        <v>73.774076000000008</v>
      </c>
    </row>
    <row r="108" spans="1:9">
      <c r="A108" s="838" t="s">
        <v>188</v>
      </c>
      <c r="B108" s="839"/>
      <c r="C108" s="839"/>
      <c r="D108" s="839"/>
      <c r="E108" s="839"/>
      <c r="F108" s="839"/>
      <c r="G108" s="839"/>
      <c r="H108" s="840"/>
      <c r="I108" s="153">
        <f>I107/C107</f>
        <v>73.774076000000008</v>
      </c>
    </row>
    <row r="109" spans="1:9">
      <c r="A109" s="838" t="s">
        <v>189</v>
      </c>
      <c r="B109" s="839"/>
      <c r="C109" s="839"/>
      <c r="D109" s="839"/>
      <c r="E109" s="839"/>
      <c r="F109" s="839"/>
      <c r="G109" s="839"/>
      <c r="H109" s="840"/>
      <c r="I109" s="153">
        <v>1</v>
      </c>
    </row>
    <row r="110" spans="1:9">
      <c r="A110" s="869" t="s">
        <v>190</v>
      </c>
      <c r="B110" s="870"/>
      <c r="C110" s="870"/>
      <c r="D110" s="870"/>
      <c r="E110" s="870"/>
      <c r="F110" s="870"/>
      <c r="G110" s="870"/>
      <c r="H110" s="871"/>
      <c r="I110" s="159">
        <f>I108*I109</f>
        <v>73.774076000000008</v>
      </c>
    </row>
    <row r="111" spans="1:9">
      <c r="A111" s="879"/>
      <c r="B111" s="880"/>
      <c r="C111" s="880"/>
      <c r="D111" s="880"/>
      <c r="E111" s="880"/>
      <c r="F111" s="880"/>
      <c r="G111" s="880"/>
      <c r="H111" s="880"/>
      <c r="I111" s="881"/>
    </row>
    <row r="112" spans="1:9" ht="15" customHeight="1">
      <c r="A112" s="872"/>
      <c r="B112" s="873"/>
      <c r="C112" s="874" t="s">
        <v>162</v>
      </c>
      <c r="D112" s="875"/>
      <c r="E112" s="875"/>
      <c r="F112" s="875"/>
      <c r="G112" s="875"/>
      <c r="H112" s="876"/>
      <c r="I112" s="130" t="s">
        <v>206</v>
      </c>
    </row>
    <row r="113" spans="1:9">
      <c r="A113" s="857" t="s">
        <v>164</v>
      </c>
      <c r="B113" s="858"/>
      <c r="C113" s="858"/>
      <c r="D113" s="858"/>
      <c r="E113" s="858"/>
      <c r="F113" s="858"/>
      <c r="G113" s="859"/>
      <c r="H113" s="131" t="s">
        <v>165</v>
      </c>
      <c r="I113" s="132">
        <v>42917</v>
      </c>
    </row>
    <row r="114" spans="1:9" ht="26.25" customHeight="1">
      <c r="A114" s="860" t="s">
        <v>207</v>
      </c>
      <c r="B114" s="861"/>
      <c r="C114" s="861"/>
      <c r="D114" s="861"/>
      <c r="E114" s="861"/>
      <c r="F114" s="861"/>
      <c r="G114" s="862"/>
      <c r="H114" s="133" t="s">
        <v>167</v>
      </c>
      <c r="I114" s="138" t="s">
        <v>154</v>
      </c>
    </row>
    <row r="115" spans="1:9">
      <c r="A115" s="829" t="s">
        <v>169</v>
      </c>
      <c r="B115" s="830"/>
      <c r="C115" s="830"/>
      <c r="D115" s="830"/>
      <c r="E115" s="830"/>
      <c r="F115" s="830"/>
      <c r="G115" s="830"/>
      <c r="H115" s="830"/>
      <c r="I115" s="831"/>
    </row>
    <row r="116" spans="1:9">
      <c r="A116" s="857" t="s">
        <v>170</v>
      </c>
      <c r="B116" s="859"/>
      <c r="C116" s="135" t="s">
        <v>171</v>
      </c>
      <c r="D116" s="136" t="s">
        <v>172</v>
      </c>
      <c r="E116" s="136" t="s">
        <v>173</v>
      </c>
      <c r="F116" s="136" t="s">
        <v>174</v>
      </c>
      <c r="G116" s="136" t="s">
        <v>175</v>
      </c>
      <c r="H116" s="137" t="s">
        <v>176</v>
      </c>
      <c r="I116" s="135" t="s">
        <v>177</v>
      </c>
    </row>
    <row r="117" spans="1:9">
      <c r="A117" s="863"/>
      <c r="B117" s="864"/>
      <c r="C117" s="138"/>
      <c r="D117" s="138"/>
      <c r="E117" s="138"/>
      <c r="F117" s="139"/>
      <c r="G117" s="139"/>
      <c r="H117" s="140"/>
      <c r="I117" s="140">
        <f>G117*D117</f>
        <v>0</v>
      </c>
    </row>
    <row r="118" spans="1:9">
      <c r="A118" s="835" t="s">
        <v>178</v>
      </c>
      <c r="B118" s="837"/>
      <c r="C118" s="837"/>
      <c r="D118" s="837"/>
      <c r="E118" s="837"/>
      <c r="F118" s="837"/>
      <c r="G118" s="837"/>
      <c r="H118" s="836"/>
      <c r="I118" s="141">
        <f>SUM(I117)</f>
        <v>0</v>
      </c>
    </row>
    <row r="119" spans="1:9">
      <c r="A119" s="829" t="s">
        <v>179</v>
      </c>
      <c r="B119" s="830"/>
      <c r="C119" s="830"/>
      <c r="D119" s="830"/>
      <c r="E119" s="830"/>
      <c r="F119" s="830"/>
      <c r="G119" s="830"/>
      <c r="H119" s="830"/>
      <c r="I119" s="831"/>
    </row>
    <row r="120" spans="1:9">
      <c r="A120" s="829" t="s">
        <v>170</v>
      </c>
      <c r="B120" s="831"/>
      <c r="C120" s="138" t="s">
        <v>171</v>
      </c>
      <c r="D120" s="139" t="s">
        <v>172</v>
      </c>
      <c r="E120" s="139" t="s">
        <v>45</v>
      </c>
      <c r="F120" s="139"/>
      <c r="G120" s="139"/>
      <c r="H120" s="138" t="s">
        <v>180</v>
      </c>
      <c r="I120" s="138" t="s">
        <v>177</v>
      </c>
    </row>
    <row r="121" spans="1:9" s="148" customFormat="1" ht="21.75" customHeight="1">
      <c r="A121" s="865" t="s">
        <v>193</v>
      </c>
      <c r="B121" s="866"/>
      <c r="C121" s="142" t="s">
        <v>153</v>
      </c>
      <c r="D121" s="143">
        <f>1*1*0.2</f>
        <v>0.2</v>
      </c>
      <c r="E121" s="144">
        <v>93358</v>
      </c>
      <c r="F121" s="145"/>
      <c r="G121" s="145"/>
      <c r="H121" s="146">
        <v>48.26</v>
      </c>
      <c r="I121" s="147">
        <f>(D121*H121)</f>
        <v>9.652000000000001</v>
      </c>
    </row>
    <row r="122" spans="1:9" ht="43.5" customHeight="1">
      <c r="A122" s="865" t="s">
        <v>130</v>
      </c>
      <c r="B122" s="866"/>
      <c r="C122" s="142" t="s">
        <v>153</v>
      </c>
      <c r="D122" s="143">
        <f>1*1*0.1</f>
        <v>0.1</v>
      </c>
      <c r="E122" s="144">
        <v>94963</v>
      </c>
      <c r="F122" s="145"/>
      <c r="G122" s="145"/>
      <c r="H122" s="146">
        <v>234.35</v>
      </c>
      <c r="I122" s="147">
        <f>(D122*H122)</f>
        <v>23.435000000000002</v>
      </c>
    </row>
    <row r="123" spans="1:9" ht="40.5" customHeight="1">
      <c r="A123" s="865" t="s">
        <v>194</v>
      </c>
      <c r="B123" s="866"/>
      <c r="C123" s="142" t="s">
        <v>154</v>
      </c>
      <c r="D123" s="143">
        <f>1*0.1*4</f>
        <v>0.4</v>
      </c>
      <c r="E123" s="144">
        <v>92265</v>
      </c>
      <c r="F123" s="145"/>
      <c r="G123" s="145"/>
      <c r="H123" s="146">
        <v>52.76</v>
      </c>
      <c r="I123" s="147">
        <f>(D123*H123)</f>
        <v>21.103999999999999</v>
      </c>
    </row>
    <row r="124" spans="1:9" ht="40.5" customHeight="1">
      <c r="A124" s="865" t="s">
        <v>129</v>
      </c>
      <c r="B124" s="866"/>
      <c r="C124" s="142" t="s">
        <v>154</v>
      </c>
      <c r="D124" s="143">
        <f>1*1</f>
        <v>1</v>
      </c>
      <c r="E124" s="144">
        <v>84665</v>
      </c>
      <c r="F124" s="145"/>
      <c r="G124" s="145"/>
      <c r="H124" s="146">
        <v>16.32</v>
      </c>
      <c r="I124" s="147">
        <f>(D124*H124)</f>
        <v>16.32</v>
      </c>
    </row>
    <row r="125" spans="1:9">
      <c r="A125" s="832" t="s">
        <v>178</v>
      </c>
      <c r="B125" s="833"/>
      <c r="C125" s="833"/>
      <c r="D125" s="833"/>
      <c r="E125" s="833"/>
      <c r="F125" s="833"/>
      <c r="G125" s="833"/>
      <c r="H125" s="834"/>
      <c r="I125" s="140">
        <f>SUM(I121:I124)</f>
        <v>70.510999999999996</v>
      </c>
    </row>
    <row r="126" spans="1:9">
      <c r="A126" s="829" t="s">
        <v>184</v>
      </c>
      <c r="B126" s="830"/>
      <c r="C126" s="830"/>
      <c r="D126" s="830"/>
      <c r="E126" s="830"/>
      <c r="F126" s="830"/>
      <c r="G126" s="830"/>
      <c r="H126" s="830"/>
      <c r="I126" s="831"/>
    </row>
    <row r="127" spans="1:9">
      <c r="A127" s="857" t="s">
        <v>170</v>
      </c>
      <c r="B127" s="859"/>
      <c r="C127" s="149" t="s">
        <v>171</v>
      </c>
      <c r="D127" s="149" t="s">
        <v>172</v>
      </c>
      <c r="E127" s="149" t="s">
        <v>45</v>
      </c>
      <c r="F127" s="149"/>
      <c r="G127" s="149"/>
      <c r="H127" s="138" t="s">
        <v>180</v>
      </c>
      <c r="I127" s="150" t="s">
        <v>177</v>
      </c>
    </row>
    <row r="128" spans="1:9" ht="15" customHeight="1">
      <c r="A128" s="865"/>
      <c r="B128" s="866"/>
      <c r="C128" s="146"/>
      <c r="D128" s="149"/>
      <c r="E128" s="149"/>
      <c r="F128" s="149"/>
      <c r="G128" s="149"/>
      <c r="H128" s="158"/>
      <c r="I128" s="140">
        <f>D128*H128</f>
        <v>0</v>
      </c>
    </row>
    <row r="129" spans="1:10" ht="15.75" customHeight="1">
      <c r="A129" s="835" t="s">
        <v>178</v>
      </c>
      <c r="B129" s="837"/>
      <c r="C129" s="837"/>
      <c r="D129" s="837"/>
      <c r="E129" s="837"/>
      <c r="F129" s="837"/>
      <c r="G129" s="837"/>
      <c r="H129" s="836"/>
      <c r="I129" s="153">
        <f>SUM(I128:I128)</f>
        <v>0</v>
      </c>
    </row>
    <row r="130" spans="1:10">
      <c r="A130" s="829" t="s">
        <v>185</v>
      </c>
      <c r="B130" s="830"/>
      <c r="C130" s="830"/>
      <c r="D130" s="830"/>
      <c r="E130" s="830"/>
      <c r="F130" s="830"/>
      <c r="G130" s="830"/>
      <c r="H130" s="830"/>
      <c r="I130" s="831"/>
    </row>
    <row r="131" spans="1:10">
      <c r="A131" s="829" t="s">
        <v>170</v>
      </c>
      <c r="B131" s="831"/>
      <c r="C131" s="138" t="s">
        <v>171</v>
      </c>
      <c r="D131" s="139" t="s">
        <v>172</v>
      </c>
      <c r="E131" s="139" t="s">
        <v>45</v>
      </c>
      <c r="F131" s="139"/>
      <c r="G131" s="139"/>
      <c r="H131" s="138" t="s">
        <v>180</v>
      </c>
      <c r="I131" s="138" t="s">
        <v>177</v>
      </c>
    </row>
    <row r="132" spans="1:10" ht="15" customHeight="1">
      <c r="A132" s="865"/>
      <c r="B132" s="866"/>
      <c r="C132" s="146"/>
      <c r="D132" s="143"/>
      <c r="E132" s="146"/>
      <c r="F132" s="145"/>
      <c r="G132" s="145"/>
      <c r="H132" s="154"/>
      <c r="I132" s="154">
        <f>D132*H132</f>
        <v>0</v>
      </c>
    </row>
    <row r="133" spans="1:10">
      <c r="A133" s="832" t="s">
        <v>178</v>
      </c>
      <c r="B133" s="833"/>
      <c r="C133" s="833"/>
      <c r="D133" s="833"/>
      <c r="E133" s="833"/>
      <c r="F133" s="833"/>
      <c r="G133" s="833"/>
      <c r="H133" s="834"/>
      <c r="I133" s="155">
        <f>SUM(I132:I132)</f>
        <v>0</v>
      </c>
    </row>
    <row r="134" spans="1:10">
      <c r="A134" s="835" t="s">
        <v>186</v>
      </c>
      <c r="B134" s="836"/>
      <c r="C134" s="156">
        <v>1</v>
      </c>
      <c r="D134" s="835" t="s">
        <v>187</v>
      </c>
      <c r="E134" s="837"/>
      <c r="F134" s="837"/>
      <c r="G134" s="837"/>
      <c r="H134" s="836"/>
      <c r="I134" s="141">
        <f>I133+I129+I125+I118</f>
        <v>70.510999999999996</v>
      </c>
    </row>
    <row r="135" spans="1:10">
      <c r="A135" s="838" t="s">
        <v>188</v>
      </c>
      <c r="B135" s="839"/>
      <c r="C135" s="839"/>
      <c r="D135" s="839"/>
      <c r="E135" s="839"/>
      <c r="F135" s="839"/>
      <c r="G135" s="839"/>
      <c r="H135" s="840"/>
      <c r="I135" s="153">
        <f>I134/C134</f>
        <v>70.510999999999996</v>
      </c>
    </row>
    <row r="136" spans="1:10">
      <c r="A136" s="838" t="s">
        <v>189</v>
      </c>
      <c r="B136" s="839"/>
      <c r="C136" s="839"/>
      <c r="D136" s="839"/>
      <c r="E136" s="839"/>
      <c r="F136" s="839"/>
      <c r="G136" s="839"/>
      <c r="H136" s="840"/>
      <c r="I136" s="153">
        <v>1</v>
      </c>
    </row>
    <row r="137" spans="1:10">
      <c r="A137" s="869" t="s">
        <v>190</v>
      </c>
      <c r="B137" s="870"/>
      <c r="C137" s="870"/>
      <c r="D137" s="870"/>
      <c r="E137" s="870"/>
      <c r="F137" s="870"/>
      <c r="G137" s="870"/>
      <c r="H137" s="871"/>
      <c r="I137" s="159">
        <f>I135*I136</f>
        <v>70.510999999999996</v>
      </c>
    </row>
    <row r="138" spans="1:10">
      <c r="A138" s="869" t="s">
        <v>190</v>
      </c>
      <c r="B138" s="870"/>
      <c r="C138" s="870"/>
      <c r="D138" s="870"/>
      <c r="E138" s="870"/>
      <c r="F138" s="870"/>
      <c r="G138" s="870"/>
      <c r="H138" s="871"/>
      <c r="I138" s="159">
        <f>I136*I137</f>
        <v>70.510999999999996</v>
      </c>
    </row>
    <row r="139" spans="1:10" ht="15" customHeight="1">
      <c r="A139" s="841" t="s">
        <v>288</v>
      </c>
      <c r="B139" s="842"/>
      <c r="C139" s="842"/>
      <c r="D139" s="842"/>
      <c r="E139" s="842"/>
      <c r="F139" s="842"/>
      <c r="G139" s="842"/>
      <c r="H139" s="842"/>
      <c r="I139" s="843"/>
    </row>
    <row r="140" spans="1:10" ht="15" customHeight="1">
      <c r="A140" s="844"/>
      <c r="B140" s="547"/>
      <c r="C140" s="547"/>
      <c r="D140" s="547"/>
      <c r="E140" s="547"/>
      <c r="F140" s="547"/>
      <c r="G140" s="547"/>
      <c r="H140" s="547"/>
      <c r="I140" s="845"/>
      <c r="J140" s="160"/>
    </row>
    <row r="141" spans="1:10">
      <c r="A141" s="844"/>
      <c r="B141" s="547"/>
      <c r="C141" s="547"/>
      <c r="D141" s="547"/>
      <c r="E141" s="547"/>
      <c r="F141" s="547"/>
      <c r="G141" s="547"/>
      <c r="H141" s="547"/>
      <c r="I141" s="845"/>
    </row>
    <row r="142" spans="1:10">
      <c r="A142" s="844"/>
      <c r="B142" s="547"/>
      <c r="C142" s="547"/>
      <c r="D142" s="547"/>
      <c r="E142" s="547"/>
      <c r="F142" s="547"/>
      <c r="G142" s="547"/>
      <c r="H142" s="547"/>
      <c r="I142" s="845"/>
    </row>
    <row r="143" spans="1:10">
      <c r="A143" s="846"/>
      <c r="B143" s="847"/>
      <c r="C143" s="847"/>
      <c r="D143" s="847"/>
      <c r="E143" s="847"/>
      <c r="F143" s="847"/>
      <c r="G143" s="847"/>
      <c r="H143" s="847"/>
      <c r="I143" s="848"/>
    </row>
    <row r="144" spans="1:10" ht="15" customHeight="1">
      <c r="A144" s="841" t="s">
        <v>289</v>
      </c>
      <c r="B144" s="842"/>
      <c r="C144" s="842"/>
      <c r="D144" s="842"/>
      <c r="E144" s="842"/>
      <c r="F144" s="842"/>
      <c r="G144" s="842"/>
      <c r="H144" s="842"/>
      <c r="I144" s="843"/>
    </row>
    <row r="145" spans="1:10" ht="15" customHeight="1">
      <c r="A145" s="844"/>
      <c r="B145" s="547"/>
      <c r="C145" s="547"/>
      <c r="D145" s="547"/>
      <c r="E145" s="547"/>
      <c r="F145" s="547"/>
      <c r="G145" s="547"/>
      <c r="H145" s="547"/>
      <c r="I145" s="845"/>
      <c r="J145" s="160"/>
    </row>
    <row r="146" spans="1:10">
      <c r="A146" s="844"/>
      <c r="B146" s="547"/>
      <c r="C146" s="547"/>
      <c r="D146" s="547"/>
      <c r="E146" s="547"/>
      <c r="F146" s="547"/>
      <c r="G146" s="547"/>
      <c r="H146" s="547"/>
      <c r="I146" s="845"/>
    </row>
    <row r="147" spans="1:10">
      <c r="A147" s="844"/>
      <c r="B147" s="547"/>
      <c r="C147" s="547"/>
      <c r="D147" s="547"/>
      <c r="E147" s="547"/>
      <c r="F147" s="547"/>
      <c r="G147" s="547"/>
      <c r="H147" s="547"/>
      <c r="I147" s="845"/>
    </row>
    <row r="148" spans="1:10">
      <c r="A148" s="846"/>
      <c r="B148" s="847"/>
      <c r="C148" s="847"/>
      <c r="D148" s="847"/>
      <c r="E148" s="847"/>
      <c r="F148" s="847"/>
      <c r="G148" s="847"/>
      <c r="H148" s="847"/>
      <c r="I148" s="848"/>
    </row>
  </sheetData>
  <mergeCells count="147">
    <mergeCell ref="A138:H138"/>
    <mergeCell ref="A139:I143"/>
    <mergeCell ref="A136:H136"/>
    <mergeCell ref="A137:H137"/>
    <mergeCell ref="A128:B128"/>
    <mergeCell ref="A125:H125"/>
    <mergeCell ref="A126:I126"/>
    <mergeCell ref="A127:B127"/>
    <mergeCell ref="A129:H129"/>
    <mergeCell ref="A132:B132"/>
    <mergeCell ref="A119:I119"/>
    <mergeCell ref="A120:B120"/>
    <mergeCell ref="A121:B121"/>
    <mergeCell ref="A122:B122"/>
    <mergeCell ref="A123:B123"/>
    <mergeCell ref="A124:B124"/>
    <mergeCell ref="A113:G113"/>
    <mergeCell ref="A114:G114"/>
    <mergeCell ref="A115:I115"/>
    <mergeCell ref="A116:B116"/>
    <mergeCell ref="A117:B117"/>
    <mergeCell ref="A118:H118"/>
    <mergeCell ref="A108:H108"/>
    <mergeCell ref="A109:H109"/>
    <mergeCell ref="A110:H110"/>
    <mergeCell ref="A111:I111"/>
    <mergeCell ref="A112:B112"/>
    <mergeCell ref="C112:H112"/>
    <mergeCell ref="A103:I103"/>
    <mergeCell ref="A104:B104"/>
    <mergeCell ref="A105:B105"/>
    <mergeCell ref="A106:H106"/>
    <mergeCell ref="A107:B107"/>
    <mergeCell ref="D107:H107"/>
    <mergeCell ref="A97:H97"/>
    <mergeCell ref="A98:I98"/>
    <mergeCell ref="A99:B99"/>
    <mergeCell ref="A100:B100"/>
    <mergeCell ref="A101:B101"/>
    <mergeCell ref="A102:H102"/>
    <mergeCell ref="A91:I91"/>
    <mergeCell ref="A92:B92"/>
    <mergeCell ref="A93:B93"/>
    <mergeCell ref="A94:B94"/>
    <mergeCell ref="A95:B95"/>
    <mergeCell ref="A96:B96"/>
    <mergeCell ref="A85:G85"/>
    <mergeCell ref="A86:G86"/>
    <mergeCell ref="A87:I87"/>
    <mergeCell ref="A88:B88"/>
    <mergeCell ref="A89:B89"/>
    <mergeCell ref="A90:H90"/>
    <mergeCell ref="A80:H80"/>
    <mergeCell ref="A81:H81"/>
    <mergeCell ref="A82:H82"/>
    <mergeCell ref="A83:I83"/>
    <mergeCell ref="A84:B84"/>
    <mergeCell ref="C84:H84"/>
    <mergeCell ref="A75:I75"/>
    <mergeCell ref="A76:B76"/>
    <mergeCell ref="A77:B77"/>
    <mergeCell ref="A78:H78"/>
    <mergeCell ref="A79:B79"/>
    <mergeCell ref="D79:H79"/>
    <mergeCell ref="A69:H69"/>
    <mergeCell ref="A70:I70"/>
    <mergeCell ref="A71:B71"/>
    <mergeCell ref="A72:B72"/>
    <mergeCell ref="A73:B73"/>
    <mergeCell ref="A74:H74"/>
    <mergeCell ref="A63:I63"/>
    <mergeCell ref="A64:B64"/>
    <mergeCell ref="A65:B65"/>
    <mergeCell ref="A66:B66"/>
    <mergeCell ref="A67:B67"/>
    <mergeCell ref="A68:B68"/>
    <mergeCell ref="A57:G57"/>
    <mergeCell ref="A58:G58"/>
    <mergeCell ref="A59:I59"/>
    <mergeCell ref="A60:B60"/>
    <mergeCell ref="A61:B61"/>
    <mergeCell ref="A62:H62"/>
    <mergeCell ref="A52:H52"/>
    <mergeCell ref="A53:H53"/>
    <mergeCell ref="A54:H54"/>
    <mergeCell ref="A55:I55"/>
    <mergeCell ref="A56:B56"/>
    <mergeCell ref="C56:H56"/>
    <mergeCell ref="A46:H46"/>
    <mergeCell ref="A47:I47"/>
    <mergeCell ref="A48:B48"/>
    <mergeCell ref="A49:B49"/>
    <mergeCell ref="A50:H50"/>
    <mergeCell ref="A51:B51"/>
    <mergeCell ref="D51:H51"/>
    <mergeCell ref="A39:B39"/>
    <mergeCell ref="A40:B40"/>
    <mergeCell ref="A41:B41"/>
    <mergeCell ref="A42:H42"/>
    <mergeCell ref="A43:I43"/>
    <mergeCell ref="A44:B44"/>
    <mergeCell ref="A33:B33"/>
    <mergeCell ref="A34:B34"/>
    <mergeCell ref="A35:H35"/>
    <mergeCell ref="A36:I36"/>
    <mergeCell ref="A37:B37"/>
    <mergeCell ref="A38:B38"/>
    <mergeCell ref="A28:I28"/>
    <mergeCell ref="A29:B29"/>
    <mergeCell ref="C29:H29"/>
    <mergeCell ref="A30:G30"/>
    <mergeCell ref="A31:G31"/>
    <mergeCell ref="A32:I32"/>
    <mergeCell ref="A23:H23"/>
    <mergeCell ref="A24:B24"/>
    <mergeCell ref="D24:H24"/>
    <mergeCell ref="A25:H25"/>
    <mergeCell ref="A26:H26"/>
    <mergeCell ref="A27:H27"/>
    <mergeCell ref="A16:B16"/>
    <mergeCell ref="A18:H18"/>
    <mergeCell ref="A19:I19"/>
    <mergeCell ref="A20:B20"/>
    <mergeCell ref="A21:B21"/>
    <mergeCell ref="A22:B22"/>
    <mergeCell ref="A10:I10"/>
    <mergeCell ref="A11:B11"/>
    <mergeCell ref="A12:B12"/>
    <mergeCell ref="A13:B13"/>
    <mergeCell ref="A14:H14"/>
    <mergeCell ref="A15:I15"/>
    <mergeCell ref="A144:I148"/>
    <mergeCell ref="A2:I2"/>
    <mergeCell ref="A3:B3"/>
    <mergeCell ref="C3:H3"/>
    <mergeCell ref="A4:G4"/>
    <mergeCell ref="A5:G5"/>
    <mergeCell ref="A6:I6"/>
    <mergeCell ref="A7:B7"/>
    <mergeCell ref="A8:B8"/>
    <mergeCell ref="A9:H9"/>
    <mergeCell ref="A130:I130"/>
    <mergeCell ref="A131:B131"/>
    <mergeCell ref="A133:H133"/>
    <mergeCell ref="A134:B134"/>
    <mergeCell ref="D134:H134"/>
    <mergeCell ref="A135:H135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65" orientation="portrait" r:id="rId1"/>
  <rowBreaks count="2" manualBreakCount="2">
    <brk id="54" max="16383" man="1"/>
    <brk id="111" max="16383" man="1"/>
  </rowBreaks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Pa4QK7zmirC8mbufgU+SqI6d4vLEjR1/K4rnCjx1V9o=</DigestValue>
    </Reference>
    <Reference Type="http://www.w3.org/2000/09/xmldsig#Object" URI="#idOfficeObject">
      <DigestMethod Algorithm="http://www.w3.org/2001/04/xmlenc#sha256"/>
      <DigestValue>XHPn7Gpr46i9UKRzRR4uV5Cl15Y8u4645R6cIuK4+1o=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IOJqU3nzHHT2NDBEA5kYuKODkhL8XCq6ybFmF01JPko=</DigestValue>
    </Reference>
  </SignedInfo>
  <SignatureValue>sN/ln6VdB1IQzLmOtRIvA7SPFToXTzB8p/z4vcbtNfm7yD7v7+WVfhIiQCg51biBQgpDKEcPt9ld
pnQwqFRH1kbpSqwDlFBX0RX6aeU5bLAiCFMthoACysd6SE0r80ScW2ptEW9fcsbfroCrg6MNdJCq
5K+C0ZuSEyFxyplVhQDYiEKq7AQ20b45A4KI+Qz9RSzJpMVySW5vBSwJUtPxenTk6Iu7LZGtYSor
fnJrTj1p3Nlht/2gj0vme25ZSu/VLHeIj4AMeFtKMURRKqnDdgnytedHXwvYRHcrNPPM0jXFAPRG
iPl54axPZDPyQmXX/AuVLzmY+1SYuQuoR+/tjQ==</SignatureValue>
  <KeyInfo>
    <X509Data>
      <X509Certificate>MIIG+TCCBOGgAwIBAgIIYWQiAzEz0qMwDQYJKoZIhvcNAQELBQAwWTELMAkGA1UEBhMCQlIxEzARBgNVBAoTCklDUC1CcmFzaWwxFTATBgNVBAsTDEFDIFNPTFVUSSB2NTEeMBwGA1UEAxMVQUMgQ0VSVElGSUNBIE1JTkFTIHY1MB4XDTIyMDMzMTExNTQwMFoXDTI1MDMzMTExNTQwMFowgbwxCzAJBgNVBAYTAkJSMRMwEQYDVQQKEwpJQ1AtQnJhc2lsMR4wHAYDVQQLExVBQyBDRVJUSUZJQ0EgTUlOQVMgdjUxFzAVBgNVBAsTDjI5MDk4NzQ3MDAwMTA2MRkwFwYDVQQLExBWaWRlb2NvbmZlcmVuY2lhMRowGAYDVQQLExFDZXJ0aWZpY2FkbyBQRiBBMzEoMCYGA1UEAxMfQUxESVIgTU9SRUlSQSBGSUxITzowNzIyMjkzMDYyMDCCASIwDQYJKoZIhvcNAQEBBQADggEPADCCAQoCggEBALyooGWHTlGRZittEWmvl7dHcSoKP0XtdTgTss0M5XHzv7Vgs9t//fZ3hiGuc3w8kPkvaYjftv8xnzNy6D2Z69/ojuup8BSBfxtn19NwOwYIr6R9fvKX+gnItcsTPCehVQOKqUNx3lVCEd8ZPZi1mU+6X+wVZW80cd4w2iIzuiQdIR81Ca0bX3Ppk2swcQmhhLWBD7WWbUotkfBDZsRatewEQBLy29q+gmsbPtqL7h04B40qTWt/xNlY/a7qITOWTKe5Db8fP0VzzGYh8njwLuAlVtRPgDbeivYq7++gbd62h9ByRp0PuVG/Haown+xjCLIIdZAKoWmeRXhNzzazoLkCAwEAAaOCAl8wggJbMB8GA1UdIwQYMBaAFD/TXKkZTdeIFi2YDK8K3uFPJBawMFkGCCsGAQUFBwEBBE0wSzBJBggrBgEFBQcwAoY9aHR0cDovL2NjZC5hY3NvbHV0aS5jb20uYnIvbGNyL2FjLWNlcnRpZmljYW1pbmFzLXNtaW1lLXY1LnA3YjCBkQYDVR0RBIGJMIGGgRFhbGRpcm1mQGdtYWlsLmNvbaA4BgVgTAEDAaAvEy0yMzAzMTk5MjA3MjIyOTMwNjIwMDAwMDAwMDAwMDAwMDAwMDAwMDAwMDAwMDCgFwYFYEwBAwagDhMMMDAwMDAwMDAwMDAwoB4GBWBMAQMFoBUTEzAwMDAwMDAwMDAwMDAwMDAwMDAwYgYDVR0gBFswWTBXBgZgTAECA1swTTBLBggrBgEFBQcCARY/aHR0cDovL2NjZC5hY3NvbHV0aS5jb20uYnIvZG9jcy9kcGMtYWMtY2VydGlmaWNhbWluYXMtc21pbWUucGRmMB0GA1UdJQQWMBQGCCsGAQUFBwMCBggrBgEFBQcDBDCBlgYDVR0fBIGOMIGLMEOgQaA/hj1odHRwOi8vY2NkLmFjc29sdXRpLmNvbS5ici9sY3IvYWMtY2VydGlmaWNhbWluYXMtc21pbWUtdjUuY3JsMESgQqBAhj5odHRwOi8vY2NkMi5hY3NvbHV0aS5jb20uYnIvbGNyL2FjLWNlcnRpZmljYW1pbmFzLXNtaW1lLXY1LmNybDAdBgNVHQ4EFgQUrbUcmiOYvqg1CHa5eHx1ywVO5OgwDgYDVR0PAQH/BAQDAgXgMA0GCSqGSIb3DQEBCwUAA4ICAQADF5rI+Pu3AWaXQEY+xwW2ay2l5fIK0VwJD8LlrR5EvEfD4z3I3qccvCi08Dj10obS4bj62vVZ771FFxG45yAKYcAA6jhzsg7VXfiUuch6pasItT8sBANEAlb02z4LnkzyV41XIellQTMUDmury1caRCk2qGcU7xgEvxtqDEmOlIKn4Rgx82i54uZqfZHfSKagYyey36xjpf9tljvTcn0RUkUHaztQU9wCjeNBBmNjBxEN2Zd/enfAMGisFHMzTm0vRWoVqgvxWc/LjRuhhJ4LyLUS6RAkPZr7qgxXSvK28ICrDDniZ/b0xm6Q54W5M6nMLltUA/uyVo4minzQR3os2ue4K5f4xr/Ybjqexh+TlPjjxz7WaMwxXFSATtXNWp3CA8Obh48KeLAaEX4hB5tnZdzv/uIrggbVVeKeql0c2UIP4vjKxjG4B0AYihAzREwIdRJlkIqazQkrIUz4fj/0g/rlv3Z4kFFbpv7qBFPwroiCD2XhXuFdPQs5fIDUfnkn4fRvQFplU9DuKAq1unATpjRTb3GlvOHN/9oJC/fEN8R5QVARGDzlzc3de072dR8Ka4gVcTsr1/QZrSZ8JFG50JdJVmhR0C4jt+VNTUwgAdqKtUhb1mi6ELBSe6GxgrKX8NJpSrmAk6Poa8SreWvIszKw0tVheSKEEzZ7IeZK4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1/04/xmlenc#sha256"/>
        <DigestValue>9CiYQL2H4YQpvIdoOXgPTdiSi3qSh2qo2g4vcpTLASM=</DigestValue>
      </Reference>
      <Reference URI="/xl/activeX/_rels/activeX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hsV3Xog90E9eQtXG+YC0WcR9d3wrwb6g/wxIwR+r/9g=</DigestValue>
      </Reference>
      <Reference URI="/xl/activeX/_rels/activeX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Na8rQHTGX8KiWW/l6Pmum8K6lrz0jG8mZMCyVqD5mgk=</DigestValue>
      </Reference>
      <Reference URI="/xl/activeX/activeX1.bin?ContentType=application/vnd.ms-office.activeX">
        <DigestMethod Algorithm="http://www.w3.org/2001/04/xmlenc#sha256"/>
        <DigestValue>AO71/5L6KxF+UWw4hUAcWB+Tm/G6ywZbemo9ZoQZl5o=</DigestValue>
      </Reference>
      <Reference URI="/xl/activeX/activeX1.xml?ContentType=application/vnd.ms-office.activeX+xml">
        <DigestMethod Algorithm="http://www.w3.org/2001/04/xmlenc#sha256"/>
        <DigestValue>bXSNFCoRe8zUgzaXW6bzfpEHq3JaIj0CoebBgj14ZXQ=</DigestValue>
      </Reference>
      <Reference URI="/xl/activeX/activeX2.bin?ContentType=application/vnd.ms-office.activeX">
        <DigestMethod Algorithm="http://www.w3.org/2001/04/xmlenc#sha256"/>
        <DigestValue>7c4ySI66otxvmccKQoOlI5Vw8ST5gJmRG1TRpwuDeOA=</DigestValue>
      </Reference>
      <Reference URI="/xl/activeX/activeX2.xml?ContentType=application/vnd.ms-office.activeX+xml">
        <DigestMethod Algorithm="http://www.w3.org/2001/04/xmlenc#sha256"/>
        <DigestValue>bXSNFCoRe8zUgzaXW6bzfpEHq3JaIj0CoebBgj14ZXQ=</DigestValue>
      </Reference>
      <Reference URI="/xl/calcChain.xml?ContentType=application/vnd.openxmlformats-officedocument.spreadsheetml.calcChain+xml">
        <DigestMethod Algorithm="http://www.w3.org/2001/04/xmlenc#sha256"/>
        <DigestValue>HZGTOukd80Qk/fm1YoFNHTc1mPwRdCJZfLnR0ucDfgw=</DigestValue>
      </Reference>
      <Reference URI="/xl/comments1.xml?ContentType=application/vnd.openxmlformats-officedocument.spreadsheetml.comments+xml">
        <DigestMethod Algorithm="http://www.w3.org/2001/04/xmlenc#sha256"/>
        <DigestValue>O8rWpc8DQcKjtdJbxiiiX2XiS9M67vZYqpprUJThZl4=</DigestValue>
      </Reference>
      <Reference URI="/xl/comments2.xml?ContentType=application/vnd.openxmlformats-officedocument.spreadsheetml.comments+xml">
        <DigestMethod Algorithm="http://www.w3.org/2001/04/xmlenc#sha256"/>
        <DigestValue>4L/ItSqfGgpi3hhzbSGJZVrfkiXT6nkcmM4kdZoNTVc=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HKLkyK+cCxDfx6AK7JJczcjttDSSh5FDL1PQYt6e0vI=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5CFoI36pZ/fYJ5/OWdEItXs0ZCgdVhlDC2y4OEwyt4g=</DigestValue>
      </Reference>
      <Reference URI="/xl/drawings/drawing1.xml?ContentType=application/vnd.openxmlformats-officedocument.drawing+xml">
        <DigestMethod Algorithm="http://www.w3.org/2001/04/xmlenc#sha256"/>
        <DigestValue>VzlnHyn1r5jGhkgtuRTc7G5UV3a1n1rIbjnvTw+gIrM=</DigestValue>
      </Reference>
      <Reference URI="/xl/drawings/vmlDrawing1.vml?ContentType=application/vnd.openxmlformats-officedocument.vmlDrawing">
        <DigestMethod Algorithm="http://www.w3.org/2001/04/xmlenc#sha256"/>
        <DigestValue>hErgARXcobJpnU1h3D3dhi8uyRlUVTj9o4/3H3iPYZ4=</DigestValue>
      </Reference>
      <Reference URI="/xl/drawings/vmlDrawing2.vml?ContentType=application/vnd.openxmlformats-officedocument.vmlDrawing">
        <DigestMethod Algorithm="http://www.w3.org/2001/04/xmlenc#sha256"/>
        <DigestValue>R8OwEA3zQa05mh/7FfPhRIAYQiJLcpUBnTY4OiO0810=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Tpim79h1Kf68e+kApFroqN71qFI6cvZ/Xs3jMwO+L2s=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NIY/pM4hzZtJ3B86DB21QwXyL+ThKm/H1TeDi6jqsCc=</DigestValue>
      </Reference>
      <Reference URI="/xl/media/image1.emf?ContentType=image/x-emf">
        <DigestMethod Algorithm="http://www.w3.org/2001/04/xmlenc#sha256"/>
        <DigestValue>KEt3Djaj8ca+oiL8OX1r1EAAKy/NJcpyyaRkhZ9I2RE=</DigestValue>
      </Reference>
      <Reference URI="/xl/media/image2.emf?ContentType=image/x-emf">
        <DigestMethod Algorithm="http://www.w3.org/2001/04/xmlenc#sha256"/>
        <DigestValue>MZTq0576HCdcEUd5M8j+/Ii1ejy90O+/5ILgGXzkDeQ=</DigestValue>
      </Reference>
      <Reference URI="/xl/media/image3.emf?ContentType=image/x-emf">
        <DigestMethod Algorithm="http://www.w3.org/2001/04/xmlenc#sha256"/>
        <DigestValue>9R9u3t0pojnzDO5qbro/XHW8ykjRN7Bz5uQT5SET9dA=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5j0XUlamihmY+ZF/2WNelNVGZQQ8zEdfyNVg1h8Crf8=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FQJXjXexG71azNaxLHWpZX/y4QnOb85V2m3NuwDGSiM=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nvrLvFfhjmvSJQBwqdXo5OFGRgFRVwiVJftHSL/ck4M=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QAsE+x0QjdCs7SntqV8uj4n48tJ18SWiaB+hkFPzrNg=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FQJXjXexG71azNaxLHWpZX/y4QnOb85V2m3NuwDGSiM=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44UGOmMzYmWKJznszmYgWNHI16+pU4A4txoVQ52D5m8=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mQs06x1zUbCRQv8oU9sCrSvlLXilFgQoU80OHOWLcpE=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FQJXjXexG71azNaxLHWpZX/y4QnOb85V2m3NuwDGSiM=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lN8fd7f+U9l2NOE+80N0ia+Xozm8ZN1QIuWDIzAaC2w=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arlbdUfxjyPgrJZ2Ehx+hxCaSsGufXu49YCR28VkNJ8=</DigestValue>
      </Reference>
      <Reference URI="/xl/sharedStrings.xml?ContentType=application/vnd.openxmlformats-officedocument.spreadsheetml.sharedStrings+xml">
        <DigestMethod Algorithm="http://www.w3.org/2001/04/xmlenc#sha256"/>
        <DigestValue>sRN0NV2Ty/4UWx5nzZ92xEzg2+fh3WhCUdaYIJ/iNs4=</DigestValue>
      </Reference>
      <Reference URI="/xl/styles.xml?ContentType=application/vnd.openxmlformats-officedocument.spreadsheetml.styles+xml">
        <DigestMethod Algorithm="http://www.w3.org/2001/04/xmlenc#sha256"/>
        <DigestValue>7PI6KSZOti+1phO9Xv4YuS+X0p9X3qVsKVtBv9Q/V/g=</DigestValue>
      </Reference>
      <Reference URI="/xl/theme/theme1.xml?ContentType=application/vnd.openxmlformats-officedocument.theme+xml">
        <DigestMethod Algorithm="http://www.w3.org/2001/04/xmlenc#sha256"/>
        <DigestValue>4hLEz3w+8GJY+8aFsPjlIiFRY3GypxMs2GArvDwKLVk=</DigestValue>
      </Reference>
      <Reference URI="/xl/workbook.xml?ContentType=application/vnd.openxmlformats-officedocument.spreadsheetml.sheet.main+xml">
        <DigestMethod Algorithm="http://www.w3.org/2001/04/xmlenc#sha256"/>
        <DigestValue>5Wu6XVYUiIVfmAfGzoEpn4zFQ61i/4lU0AAnofAbCBw=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N7II7La8ahDhJgUeQJLZlyLGRsqJ1ApiYV+SyB0vv5Y=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jKXVFx1HGVIO24c9gNTdtZXWAhN/RaoLgU3SJbP+8Bw=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5D5P8zFIUBBrXZEHWETdb5DhaDRRXo93GGayGnNTBac=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VBtVSFlIxzcUXhEx+UnzQXmVxs4DIyAhk4b2Ww66f00=</DigestValue>
      </Reference>
      <Reference URI="/xl/worksheets/sheet1.xml?ContentType=application/vnd.openxmlformats-officedocument.spreadsheetml.worksheet+xml">
        <DigestMethod Algorithm="http://www.w3.org/2001/04/xmlenc#sha256"/>
        <DigestValue>5GPJJsf5Yjq91UcazNTplRbON0NwavOpaEnI6oWaABI=</DigestValue>
      </Reference>
      <Reference URI="/xl/worksheets/sheet10.xml?ContentType=application/vnd.openxmlformats-officedocument.spreadsheetml.worksheet+xml">
        <DigestMethod Algorithm="http://www.w3.org/2001/04/xmlenc#sha256"/>
        <DigestValue>1FFAZ0XKfFrfL4AFrMNotEgU8nNtHU4HvnXyn0fMEAA=</DigestValue>
      </Reference>
      <Reference URI="/xl/worksheets/sheet2.xml?ContentType=application/vnd.openxmlformats-officedocument.spreadsheetml.worksheet+xml">
        <DigestMethod Algorithm="http://www.w3.org/2001/04/xmlenc#sha256"/>
        <DigestValue>7dfV/x/xR15KxKUOz08qqUrslV95arVgVFH8+P5an/U=</DigestValue>
      </Reference>
      <Reference URI="/xl/worksheets/sheet3.xml?ContentType=application/vnd.openxmlformats-officedocument.spreadsheetml.worksheet+xml">
        <DigestMethod Algorithm="http://www.w3.org/2001/04/xmlenc#sha256"/>
        <DigestValue>u8X02aSQUi4KSu87RyPR0kAFD70SXP+kUSCNecnR19c=</DigestValue>
      </Reference>
      <Reference URI="/xl/worksheets/sheet4.xml?ContentType=application/vnd.openxmlformats-officedocument.spreadsheetml.worksheet+xml">
        <DigestMethod Algorithm="http://www.w3.org/2001/04/xmlenc#sha256"/>
        <DigestValue>iaMYYr5MS6OLFKDgTRdDqHVw4VGMB5XrcvkB9GptPno=</DigestValue>
      </Reference>
      <Reference URI="/xl/worksheets/sheet5.xml?ContentType=application/vnd.openxmlformats-officedocument.spreadsheetml.worksheet+xml">
        <DigestMethod Algorithm="http://www.w3.org/2001/04/xmlenc#sha256"/>
        <DigestValue>r1UkxTnAkVLvNWVBrIrwKbSYlTQkFb5+Oi0HsI2Qv9I=</DigestValue>
      </Reference>
      <Reference URI="/xl/worksheets/sheet6.xml?ContentType=application/vnd.openxmlformats-officedocument.spreadsheetml.worksheet+xml">
        <DigestMethod Algorithm="http://www.w3.org/2001/04/xmlenc#sha256"/>
        <DigestValue>w2HaIZoI8vnnoobbXx8R3LQxCMbl49R7w2du+SO/cN0=</DigestValue>
      </Reference>
      <Reference URI="/xl/worksheets/sheet7.xml?ContentType=application/vnd.openxmlformats-officedocument.spreadsheetml.worksheet+xml">
        <DigestMethod Algorithm="http://www.w3.org/2001/04/xmlenc#sha256"/>
        <DigestValue>Mrg7QkuEOyIAFHtJp5+njcuoIqKdxM4/TN2qzyIJh2w=</DigestValue>
      </Reference>
      <Reference URI="/xl/worksheets/sheet8.xml?ContentType=application/vnd.openxmlformats-officedocument.spreadsheetml.worksheet+xml">
        <DigestMethod Algorithm="http://www.w3.org/2001/04/xmlenc#sha256"/>
        <DigestValue>hoEZrUK3MR1aa8RRjKe8HOpZhl+HVNkdjRQnsGWIwKI=</DigestValue>
      </Reference>
      <Reference URI="/xl/worksheets/sheet9.xml?ContentType=application/vnd.openxmlformats-officedocument.spreadsheetml.worksheet+xml">
        <DigestMethod Algorithm="http://www.w3.org/2001/04/xmlenc#sha256"/>
        <DigestValue>hRjWO8ACATKxm6AgpeI2uZeoAgBgyAD/41z26GwJJls=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2025-03-25T17:28:34Z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RESPONSABILIDADE TÉCNICA</SignatureComments>
          <WindowsVersion>10.0</WindowsVersion>
          <OfficeVersion>16.0.14332/22</OfficeVersion>
          <ApplicationVersion>16.0.14332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  <SignatureInfoV2 xmlns="http://schemas.microsoft.com/office/2006/digsig">
          <Address1>RUA NECO ARAÚJO</Address1>
          <Address2/>
        </SignatureInfoV2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2025-03-25T17:28:34Z</xd:SigningTime>
          <xd:SigningCertificate>
            <xd:Cert>
              <xd:CertDigest>
                <DigestMethod Algorithm="http://www.w3.org/2001/04/xmlenc#sha256"/>
                <DigestValue>miLU4fw4yNR9UAnFsJkca04xGO4fNlz2PMBj6x+o4Ks=</DigestValue>
              </xd:CertDigest>
              <xd:IssuerSerial>
                <X509IssuerName>CN=AC CERTIFICA MINAS v5, OU=AC SOLUTI v5, O=ICP-Brasil, C=BR</X509IssuerName>
                <X509SerialNumber>7017771516455801507</X509SerialNumber>
              </xd:IssuerSerial>
            </xd:Cert>
          </xd:SigningCertificate>
          <xd:SignaturePolicyIdentifier>
            <xd:SignaturePolicyImplied/>
          </xd:SignaturePolicyIdentifier>
          <xd:SignatureProductionPlace>
            <xd:City>BRASÍLIA DE MINAS</xd:City>
            <xd:StateOrProvince>MINAS GERAIS</xd:StateOrProvince>
            <xd:PostalCode>39330000</xd:PostalCode>
            <xd:CountryName>BRASIL</xd:CountryName>
          </xd:SignatureProductionPlace>
          <xd:SignerRole>
            <xd:ClaimedRoles>
              <xd:ClaimedRole>ENGENHEIRO CIVIL</xd:ClaimedRole>
            </xd:ClaimedRoles>
          </xd:SignerRole>
        </xd:SignedSignatureProperties>
        <xd:SignedDataObjectProperties>
          <xd:CommitmentTypeIndication>
            <xd:CommitmentTypeId>
              <xd:Identifier>http://uri.etsi.org/01903/v1.2.2#ProofOfOrigin</xd:Identifier>
              <xd:Description>Criou e aprovou este documento</xd:Description>
            </xd:CommitmentTypeId>
            <xd:AllSignedDataObjects/>
            <xd:CommitmentTypeQualifiers>
              <xd:CommitmentTypeQualifier>RESPONSABILIDADE TÉCNICA</xd:CommitmentTypeQualifier>
            </xd:CommitmentTypeQualifiers>
          </xd:CommitmentTypeIndication>
        </xd:SignedDataObjectProperties>
      </xd:SignedProperties>
      <xd:UnsignedProperties>
        <xd:UnsignedSignatureProperties>
          <xd:CertificateValues>
            <xd:EncapsulatedX509Certificate>MIIHFjCCBP6gAwIBAgIBCzANBgkqhkiG9w0BAQ0FADBvMQswCQYDVQQGEwJCUjETMBEGA1UEChMKSUNQLUJyYXNpbDE0MDIGA1UECxMrQXV0b3JpZGFkZSBDZXJ0aWZpY2Fkb3JhIFJhaXogQnJhc2lsZWlyYSB2NTEVMBMGA1UEAxMMQUMgU09MVVRJIHY1MB4XDTE5MDIwNTE0MzY0M1oXDTI5MDMwMjExNTg1OVowWTELMAkGA1UEBhMCQlIxEzARBgNVBAoTCklDUC1CcmFzaWwxFTATBgNVBAsTDEFDIFNPTFVUSSB2NTEeMBwGA1UEAxMVQUMgQ0VSVElGSUNBIE1JTkFTIHY1MIICIjANBgkqhkiG9w0BAQEFAAOCAg8AMIICCgKCAgEAt3EZvviHaCLuaPgCUFpjBiQ/Q4p1NsRvZOmcj9dFJUYZM702s0dGrb1xYH4Xd/oVaDutlae87c0MYxQFXd69TkTBgVQcrO1vQA0siK24t05SxW+4OlfKLYCPfqOKmaAKjC5Hm72gRDf4EUVmkrVHGaoTftpP1NLJploYsLkHOfaTcxOnkjwNBB+fcVsxbDRy7XKqGnsvoz4PNendKIqHD2uLwM0xQmLGUSJcY2jLJC2bH3Zx1PTjKPDq7epV2bo72V+PJ/cMkwKgnmrvR6oCap6izHSMBkgl5lu+ld7Lc6S004nxytu661onqlcdJgmRC08r6WE+ad/X6Do6Mu3spfFTBzH/L0ZlN3p6Kd6p/XQVkMpHUvPrI8eOSmnsiPE5qNBuCmaCxt0QdTBnFarWMpI2RK5HAX7GNNs7TBPk2WSLnJrrmQ4Ot1QCrIybe/ncd97y1pr6EffSb8CmrNhzoPLLx8jHHO+M8iYxy8TaT9ei56h3QTapl4XQ6aWdP415hV4F5gJ3vg0NHSgEy177cBaACKJKuRHFmZHoowh1KQvIk/stg577B8IB3ZJQ6dRyc37MpTGo6Rs4WagYxaWQCYYJ90wr/FpYDOSOdRmT06BvmVg/LkhiEjJR6PQOCcrvLqNXlULihsZ9IYobPuMbliPkcfa081glKF8htzD5fpkCAwEAAaOCAdEwggHNMB0GA1UdDgQWBBQ/01ypGU3XiBYtmAyvCt7hTyQWsDAPBgNVHRMBAf8EBTADAQH/MB8GA1UdIwQYMBaAFErHl9y4Wa0KBztHVSbf1bInrnpxMIHvBgNVHSAEgecwgeQwSgYGYEwBAgQtMEAwPgYIKwYBBQUHAgEWMmh0dHBzOi8vY2NkLmFjc29sdXRpLmNvbS5ici9kb2NzL2RwYy1hYy1zb2x1dGkucGRmMEoGBmBMAQIBYDBAMD4GCCsGAQUFBwIBFjJodHRwczovL2NjZC5hY3NvbHV0aS5jb20uYnIvZG9jcy9kcGMtYWMtc29sdXRpLnBkZjBKBgZgTAECA1swQDA+BggrBgEFBQcCARYyaHR0cHM6Ly9jY2QuYWNzb2x1dGkuY29tLmJyL2RvY3MvZHBjLWFjLXNvbHV0aS5wZGYweAYDVR0fBHEwbzA1oDOgMYYvaHR0cDovL2NjZC5hY3NvbHV0aS5jb20uYnIvbGNyL2FjLXNvbHV0aS12NS5jcmwwNqA0oDKGMGh0dHA6Ly9jY2QyLmFjc29sdXRpLmNvbS5ici9sY3IvYWMtc29sdXRpLXY1LmNybDAOBgNVHQ8BAf8EBAMCAQYwDQYJKoZIhvcNAQENBQADggIBAGLG02EKsbfvrRI7BGK7kXaS4Vn3RNk5DUi8oKI1QF10vkxu0vcW65xnM5g1mppPwZmYdCfUt6iYRoWFsxYZjw9zsKcX0q7z2s37BTbpkVjjBJKryjzen6JC3yI7V061H8DNTWf5fUmPob4lzkgyuJ5BnkuacZ/3kOm5zfRzt5ijCrshViCJDDKKdTlCIjzNabirrKpqaX18fGshvFsIFjuhkHiiUP1uhhzo9v/cHDKZDJT1z18NDz396Fs8YLUMNImU5my3lm5ZAM8+VT/4+pxUVIMj1SzfUvl6EymPRZlQujHVDB1P7lyXFFP2HkrCgegr5YPYPToKmdvivAlWWhHR8UsUwSVfIj9Rq+z3CgZymHO+h5L1XpaGuLdq9qNvYkwMPt3M8HXO+wyrNOoAo1Uw4V3TkahjYw3yv1EEAU9U6McUHWFwOW4TiESYF7V+wyTfhbiwWiqWepmH1ZGHXqhUcjp3gmpsMwlN5TzUjrSVOg0uMeAbYyQkecgPI0LFpbAwcXbdOKhEXq9CsKvic8VCqh7H+A1chNlI3GiKZWoFqQ4jArlgxOYHUVFEj1+1LacPZWKnQBGVlH2CM8LcLVKTAPBwMNTaonc99vZmw6oVRWMJhLAsRRT7SnkABYH+VnpxHG4A3xSy7G8btWe+E5u9Msknf3c1nM9qkosEOPZ8</xd:EncapsulatedX509Certificate>
            <xd:EncapsulatedX509Certificate>MIIGPjCCBCagAwIBAgIBCzANBgkqhkiG9w0BAQ0FADCBlzELMAkGA1UEBhMCQlIxEzARBgNVBAoMCklDUC1CcmFzaWwxPTA7BgNVBAsMNEluc3RpdHV0byBOYWNpb25hbCBkZSBUZWNub2xvZ2lhIGRhIEluZm9ybWFjYW8gLSBJVEkxNDAyBgNVBAMMK0F1dG9yaWRhZGUgQ2VydGlmaWNhZG9yYSBSYWl6IEJyYXNpbGVpcmEgdjUwHhcNMTgwNjI5MTg1NTIwWhcNMjkwMzAyMTIwMDIwWjBvMQswCQYDVQQGEwJCUjETMBEGA1UEChMKSUNQLUJyYXNpbDE0MDIGA1UECxMrQXV0b3JpZGFkZSBDZXJ0aWZpY2Fkb3JhIFJhaXogQnJhc2lsZWlyYSB2NTEVMBMGA1UEAxMMQUMgU09MVVRJIHY1MIICIjANBgkqhkiG9w0BAQEFAAOCAg8AMIICCgKCAgEAtoQbmI4YZawD53+Un9kiyaLa1Yf0OtZ1HtRX8dEJ/a8gMegdj8octdGAid1SKe7IMYRCN554iZldoDhfK7YLJxbjQaT/OfA7fRu6uA7z7joS34zdYhEN4P4EgL3DTCQPVzStjExIhu+qG0VV4cuZQ8n+jrRL653/liXqTwgVJd1YHZO/vQnjWWUmuANO1Gxp/cIRjASUenWfT0LV3Uiu9x9ZwYi/fS6eX7ihmpxVgRrzf717EcYZziVjNJj/wwLRbVs4pgz005d+W96iqxhi0Hb/f4rBYqYci9DwEFzYdvkkk62KbrbHw+lhpGXdQs+wHPYR8rh6nxdNwMuXLyF1UU9EXxy5TGsrbQmCdjWVDcJs2ViLDcmBHSdvLcgkOQYj7vCw5Mpfu+7s2veGa0H/U+FrdYSn4JXy9E78TNcRv5mV1y98eDR4iHSSJMPcPmn54QImkoXwch6t5EmmPEd1FpPD0bw5cs8Fm30GFkIH1245ANRI298V9s3qcR+hHTKianI7uFmrgZEPu8hl8rNnQmAo1q8XOShp8h9XB1xh6I9yETNX+LbaPsoZ7iFNbvQ6+TLxBzM6wcKaT9eW6DXscIRFviyqeLy2finG9IE9hGYVeWoLl2uGVqFr124HTLppej/0Wbfel7QjDL0I99u2vKviD14J+2E+UBLjsFgOf5UCAwEAAaOBuzCBuDAUBgNVHSAEDTALMAkGBWBMAQEuMAAwPwYDVR0fBDgwNjA0oDKgMIYuaHR0cDovL2FjcmFpei5pY3BicmFzaWwuZ292LmJyL0xDUmFjcmFpenY1LmNybDAfBgNVHSMEGDAWgBRpqL512cTvbOcTReRhbuVo+LZAXjAdBgNVHQ4EFgQUSseX3LhZrQoHO0dVJt/VsieuenEwDwYDVR0TAQH/BAUwAwEB/zAOBgNVHQ8BAf8EBAMCAQYwDQYJKoZIhvcNAQENBQADggIBAHTHprVP4HJFNsMWtG/1uj+CRSITHaIqKokRSoDFGRuxKLWNAXv1G59Ioyn0iiQimDUijBSVizNBHRFYpxs6J+0Ju9z8cHUWahqBkqhMLNNzPDjWCgxiBCGwMHvkSku1nJHkKf0Tbo7XL5GvZTE7rXY4phop6hqImfCPdaG9uoI2RENAuGF5Vsa/7I7x3pbKwQV78UbmrFfCoLrZB8e3pawY5JVxZU5PHyf59A+g8l9o5g7IqMtkKdpq2r52q/1SRaRZHWYwMc2o823nb57fjP+n21Ccxnve2j3a1lmsCbpvfwgkku9xTzOE3BhTSFYMUGeD7FUfSmztTxuvtYGG4dKqfHXYmKE/GHtrKwbj4zU9DNsItO4BXCGnJg+Cm/1qJAvCBT8NHMwPp82jvxc7JC3KSREmLFQfhj5ndMi0T/B0HWhOEpe30GeZQToRxjPjV68UBjURNzEybWMTQwPf5hx6TtxCQ1ogUNR9Em/qmt3EWxXB+JDv3CgjeCNgzQQ8AQHdAvRYDu7z8xNhTaE+SL9+Ctp1LS9O9n8Miu4ZwsG/WP0A36ftUQSZ9QizDue2iS4HCvK8qhBWmqq8bF5pnPWCXSxxj7x+rKo648BBJSKpd4B5sQW+YG43ONUuE6VmFio4ofrwjvf+xZVoghfkADeq6/5hsGNJsLzXDfr6hCDB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4</vt:i4>
      </vt:variant>
    </vt:vector>
  </HeadingPairs>
  <TitlesOfParts>
    <vt:vector size="14" baseType="lpstr">
      <vt:lpstr>PLANILHA</vt:lpstr>
      <vt:lpstr>Memo</vt:lpstr>
      <vt:lpstr>ANEXO QCI</vt:lpstr>
      <vt:lpstr>PLANILHA </vt:lpstr>
      <vt:lpstr>BDI</vt:lpstr>
      <vt:lpstr>MEMORIA DE CÁLCULO</vt:lpstr>
      <vt:lpstr>CRONOGRAMA</vt:lpstr>
      <vt:lpstr>COMPOSIÇÕES</vt:lpstr>
      <vt:lpstr>CPU</vt:lpstr>
      <vt:lpstr>DMTs</vt:lpstr>
      <vt:lpstr>Memo!Area_de_impressao</vt:lpstr>
      <vt:lpstr>'MEMORIA DE CÁLCULO'!Area_de_impressao</vt:lpstr>
      <vt:lpstr>PLANILHA!Area_de_impressao</vt:lpstr>
      <vt:lpstr>PLANILHA!Titulos_de_impressao</vt:lpstr>
    </vt:vector>
  </TitlesOfParts>
  <Company>Caixa Econômica Federal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GEPAD</dc:creator>
  <cp:lastModifiedBy>ALDIR</cp:lastModifiedBy>
  <cp:lastPrinted>2025-01-08T12:24:20Z</cp:lastPrinted>
  <dcterms:created xsi:type="dcterms:W3CDTF">1998-10-30T18:34:56Z</dcterms:created>
  <dcterms:modified xsi:type="dcterms:W3CDTF">2025-03-25T17:27:01Z</dcterms:modified>
</cp:coreProperties>
</file>