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D:\ALDIR DOCUMENTOS\Documentos\PREFEITURA BRASÍLIA DE MINAS\PRAÇA RODOVIÁRIA\PLANILHA ATUALIZADA\"/>
    </mc:Choice>
  </mc:AlternateContent>
  <xr:revisionPtr revIDLastSave="0" documentId="13_ncr:1_{66F49CBB-2724-4223-A173-82919F0AED6B}" xr6:coauthVersionLast="36" xr6:coauthVersionMax="36" xr10:uidLastSave="{00000000-0000-0000-0000-000000000000}"/>
  <bookViews>
    <workbookView xWindow="0" yWindow="0" windowWidth="23040" windowHeight="9060" xr2:uid="{00000000-000D-0000-FFFF-FFFF00000000}"/>
  </bookViews>
  <sheets>
    <sheet name="PLANILHA" sheetId="1" r:id="rId1"/>
    <sheet name="MEMORIA" sheetId="3" r:id="rId2"/>
    <sheet name="CRONOGRAMA" sheetId="4" r:id="rId3"/>
    <sheet name="QCI" sheetId="5" r:id="rId4"/>
    <sheet name="CPU RAMPA" sheetId="13" r:id="rId5"/>
    <sheet name="COTAÇÃO 1" sheetId="14" r:id="rId6"/>
    <sheet name="COTAÇÃO 2" sheetId="15" r:id="rId7"/>
    <sheet name="BDI" sheetId="16" r:id="rId8"/>
  </sheets>
  <externalReferences>
    <externalReference r:id="rId9"/>
    <externalReference r:id="rId10"/>
    <externalReference r:id="rId11"/>
  </externalReferences>
  <definedNames>
    <definedName name="_xlnm.Print_Area" localSheetId="2">CRONOGRAMA!$A$1:$AA$33</definedName>
    <definedName name="_xlnm.Print_Area" localSheetId="1">MEMORIA!$A$1:$J$194</definedName>
    <definedName name="_xlnm.Print_Area" localSheetId="0">PLANILHA!$A$1:$U$72</definedName>
    <definedName name="_xlnm.Print_Area" localSheetId="3">QCI!$A$1:$I$27</definedName>
  </definedNames>
  <calcPr calcId="179021"/>
</workbook>
</file>

<file path=xl/calcChain.xml><?xml version="1.0" encoding="utf-8"?>
<calcChain xmlns="http://schemas.openxmlformats.org/spreadsheetml/2006/main">
  <c r="Q53" i="1" l="1"/>
  <c r="Q52" i="1"/>
  <c r="Q51" i="1"/>
  <c r="Q50" i="1"/>
  <c r="Q49" i="1"/>
  <c r="Q48" i="1"/>
  <c r="Q47" i="1"/>
  <c r="Q46" i="1"/>
  <c r="Q45" i="1"/>
  <c r="Q44" i="1"/>
  <c r="Q22" i="1"/>
  <c r="Q21" i="1"/>
  <c r="Q19" i="1"/>
  <c r="Q16" i="1"/>
  <c r="I41" i="16"/>
  <c r="I50" i="16" s="1"/>
  <c r="H41" i="16"/>
  <c r="H50" i="16" s="1"/>
  <c r="G41" i="16"/>
  <c r="G50" i="16" s="1"/>
  <c r="F41" i="16"/>
  <c r="F50" i="16" s="1"/>
  <c r="E41" i="16"/>
  <c r="E50" i="16" s="1"/>
  <c r="D41" i="16"/>
  <c r="D50" i="16" s="1"/>
  <c r="C41" i="16"/>
  <c r="C50" i="16" s="1"/>
  <c r="I38" i="16"/>
  <c r="I49" i="16" s="1"/>
  <c r="H38" i="16"/>
  <c r="H49" i="16" s="1"/>
  <c r="G38" i="16"/>
  <c r="G49" i="16" s="1"/>
  <c r="G51" i="16" s="1"/>
  <c r="F38" i="16"/>
  <c r="F49" i="16" s="1"/>
  <c r="F51" i="16" s="1"/>
  <c r="E38" i="16"/>
  <c r="E49" i="16" s="1"/>
  <c r="E51" i="16" s="1"/>
  <c r="D38" i="16"/>
  <c r="D49" i="16" s="1"/>
  <c r="C38" i="16"/>
  <c r="C49" i="16" s="1"/>
  <c r="C51" i="16" s="1"/>
  <c r="G23" i="16"/>
  <c r="H14" i="16"/>
  <c r="H23" i="16" s="1"/>
  <c r="G14" i="16"/>
  <c r="F14" i="16"/>
  <c r="F23" i="16" s="1"/>
  <c r="E14" i="16"/>
  <c r="E23" i="16" s="1"/>
  <c r="D14" i="16"/>
  <c r="D23" i="16" s="1"/>
  <c r="C14" i="16"/>
  <c r="C23" i="16" s="1"/>
  <c r="H11" i="16"/>
  <c r="H22" i="16" s="1"/>
  <c r="H24" i="16" s="1"/>
  <c r="G11" i="16"/>
  <c r="G22" i="16" s="1"/>
  <c r="G24" i="16" s="1"/>
  <c r="F11" i="16"/>
  <c r="F22" i="16" s="1"/>
  <c r="F24" i="16" s="1"/>
  <c r="E11" i="16"/>
  <c r="E22" i="16" s="1"/>
  <c r="E24" i="16" s="1"/>
  <c r="D11" i="16"/>
  <c r="D22" i="16" s="1"/>
  <c r="D24" i="16" s="1"/>
  <c r="C11" i="16"/>
  <c r="C22" i="16" s="1"/>
  <c r="C24" i="16" s="1"/>
  <c r="H51" i="16" l="1"/>
  <c r="D51" i="16"/>
  <c r="I51" i="16"/>
  <c r="N41" i="1"/>
  <c r="B5" i="15"/>
  <c r="F5" i="15"/>
  <c r="L16" i="4" l="1"/>
  <c r="L17" i="4"/>
  <c r="L18" i="4"/>
  <c r="L19" i="4"/>
  <c r="L20" i="4"/>
  <c r="L21" i="4"/>
  <c r="L22" i="4"/>
  <c r="L15" i="4"/>
  <c r="C22" i="4"/>
  <c r="N34" i="1"/>
  <c r="F5" i="14"/>
  <c r="K38" i="1" l="1"/>
  <c r="D184" i="3"/>
  <c r="I184" i="3" s="1"/>
  <c r="I175" i="3"/>
  <c r="I176" i="3"/>
  <c r="D176" i="3"/>
  <c r="D164" i="3"/>
  <c r="I164" i="3"/>
  <c r="I170" i="3"/>
  <c r="E169" i="3"/>
  <c r="I162" i="3"/>
  <c r="D163" i="3"/>
  <c r="B136" i="3"/>
  <c r="B142" i="3"/>
  <c r="J47" i="1"/>
  <c r="D47" i="1"/>
  <c r="D136" i="3" s="1"/>
  <c r="B47" i="1"/>
  <c r="B137" i="3" s="1"/>
  <c r="D127" i="3"/>
  <c r="I127" i="3" s="1"/>
  <c r="D126" i="3"/>
  <c r="A127" i="3"/>
  <c r="I121" i="3"/>
  <c r="I120" i="3"/>
  <c r="I100" i="3"/>
  <c r="I85" i="3"/>
  <c r="I93" i="3" s="1"/>
  <c r="I105" i="3" s="1"/>
  <c r="I111" i="3" s="1"/>
  <c r="D85" i="3"/>
  <c r="D93" i="3" s="1"/>
  <c r="D105" i="3" s="1"/>
  <c r="D111" i="3" s="1"/>
  <c r="I94" i="3"/>
  <c r="I95" i="3" s="1"/>
  <c r="I80" i="3"/>
  <c r="I86" i="3"/>
  <c r="I65" i="3"/>
  <c r="I57" i="3"/>
  <c r="D51" i="3"/>
  <c r="I51" i="3" s="1"/>
  <c r="I36" i="3"/>
  <c r="J37" i="3"/>
  <c r="I31" i="3"/>
  <c r="D25" i="3"/>
  <c r="I25" i="3" s="1"/>
  <c r="D72" i="3"/>
  <c r="I72" i="3" s="1"/>
  <c r="D71" i="3"/>
  <c r="I71" i="3" s="1"/>
  <c r="D19" i="3"/>
  <c r="I19" i="3" s="1"/>
  <c r="D133" i="3" l="1"/>
  <c r="I133" i="3" s="1"/>
  <c r="I73" i="3"/>
  <c r="K31" i="1" s="1"/>
  <c r="D54" i="3" l="1"/>
  <c r="B55" i="3"/>
  <c r="B54" i="3"/>
  <c r="I58" i="3"/>
  <c r="K27" i="1" s="1"/>
  <c r="C13" i="13"/>
  <c r="A13" i="13"/>
  <c r="G13" i="13"/>
  <c r="C12" i="13"/>
  <c r="A12" i="13"/>
  <c r="C8" i="13"/>
  <c r="A8" i="13"/>
  <c r="G7" i="13"/>
  <c r="G8" i="13"/>
  <c r="D8" i="13"/>
  <c r="D7" i="13"/>
  <c r="C7" i="13"/>
  <c r="A7" i="13"/>
  <c r="G12" i="13"/>
  <c r="C6" i="13"/>
  <c r="A6" i="13"/>
  <c r="G6" i="13"/>
  <c r="B181" i="3"/>
  <c r="A179" i="3"/>
  <c r="B173" i="3"/>
  <c r="B167" i="3"/>
  <c r="B160" i="3"/>
  <c r="B154" i="3"/>
  <c r="I177" i="3"/>
  <c r="K53" i="1" s="1"/>
  <c r="I163" i="3"/>
  <c r="I165" i="3" s="1"/>
  <c r="K51" i="1" s="1"/>
  <c r="B148" i="3"/>
  <c r="B130" i="3"/>
  <c r="B124" i="3"/>
  <c r="B118" i="3"/>
  <c r="A116" i="3"/>
  <c r="D109" i="3"/>
  <c r="B110" i="3"/>
  <c r="B109" i="3"/>
  <c r="B103" i="3"/>
  <c r="B97" i="3"/>
  <c r="B91" i="3"/>
  <c r="A89" i="3"/>
  <c r="B83" i="3"/>
  <c r="D77" i="3"/>
  <c r="B78" i="3"/>
  <c r="B77" i="3"/>
  <c r="A75" i="3"/>
  <c r="B40" i="3"/>
  <c r="B34" i="3"/>
  <c r="D56" i="1"/>
  <c r="D181" i="3" s="1"/>
  <c r="B56" i="1"/>
  <c r="B182" i="3" s="1"/>
  <c r="O53" i="1"/>
  <c r="D53" i="1"/>
  <c r="D173" i="3" s="1"/>
  <c r="B53" i="1"/>
  <c r="B174" i="3" s="1"/>
  <c r="D52" i="1"/>
  <c r="D167" i="3" s="1"/>
  <c r="B52" i="1"/>
  <c r="B168" i="3" s="1"/>
  <c r="D51" i="1"/>
  <c r="D160" i="3" s="1"/>
  <c r="B51" i="1"/>
  <c r="B161" i="3" s="1"/>
  <c r="J50" i="1"/>
  <c r="D50" i="1"/>
  <c r="D148" i="3" s="1"/>
  <c r="B50" i="1"/>
  <c r="B149" i="3" s="1"/>
  <c r="J49" i="1"/>
  <c r="B49" i="1"/>
  <c r="D49" i="1"/>
  <c r="J48" i="1"/>
  <c r="D48" i="1"/>
  <c r="D142" i="3" s="1"/>
  <c r="B48" i="1"/>
  <c r="B143" i="3" s="1"/>
  <c r="G14" i="13" l="1"/>
  <c r="G9" i="13"/>
  <c r="G15" i="13" s="1"/>
  <c r="G16" i="13" s="1"/>
  <c r="G18" i="13" s="1"/>
  <c r="N27" i="1" s="1"/>
  <c r="O27" i="1" s="1"/>
  <c r="I171" i="3"/>
  <c r="K52" i="1" s="1"/>
  <c r="O52" i="1" s="1"/>
  <c r="B155" i="3"/>
  <c r="D154" i="3"/>
  <c r="O51" i="1"/>
  <c r="D45" i="1"/>
  <c r="D124" i="3" s="1"/>
  <c r="B45" i="1"/>
  <c r="B125" i="3" s="1"/>
  <c r="J46" i="1"/>
  <c r="D46" i="1"/>
  <c r="D130" i="3" s="1"/>
  <c r="B46" i="1"/>
  <c r="B131" i="3" s="1"/>
  <c r="D44" i="1"/>
  <c r="D118" i="3" s="1"/>
  <c r="B44" i="1"/>
  <c r="B119" i="3" s="1"/>
  <c r="D23" i="1"/>
  <c r="D40" i="3" s="1"/>
  <c r="B23" i="1"/>
  <c r="B41" i="3" s="1"/>
  <c r="D35" i="1"/>
  <c r="D83" i="3" s="1"/>
  <c r="B35" i="1"/>
  <c r="B84" i="3" s="1"/>
  <c r="D40" i="1"/>
  <c r="D103" i="3" s="1"/>
  <c r="B40" i="1"/>
  <c r="B104" i="3" s="1"/>
  <c r="D39" i="1"/>
  <c r="D97" i="3" s="1"/>
  <c r="B39" i="1"/>
  <c r="B98" i="3" s="1"/>
  <c r="D38" i="1"/>
  <c r="D91" i="3" s="1"/>
  <c r="B38" i="1"/>
  <c r="B92" i="3" s="1"/>
  <c r="D22" i="1"/>
  <c r="D34" i="3" s="1"/>
  <c r="B22" i="1"/>
  <c r="B35" i="3" s="1"/>
  <c r="D31" i="1"/>
  <c r="B31" i="1"/>
  <c r="D30" i="1"/>
  <c r="B30" i="1"/>
  <c r="D26" i="1"/>
  <c r="B26" i="1"/>
  <c r="D21" i="1"/>
  <c r="B21" i="1"/>
  <c r="N20" i="1"/>
  <c r="D20" i="1"/>
  <c r="B20" i="1"/>
  <c r="D19" i="1"/>
  <c r="B19" i="1"/>
  <c r="O38" i="1" l="1"/>
  <c r="Q56" i="1" l="1"/>
  <c r="Q27" i="1"/>
  <c r="S27" i="1" s="1"/>
  <c r="S53" i="1"/>
  <c r="S51" i="1"/>
  <c r="S52" i="1"/>
  <c r="Q38" i="1"/>
  <c r="S38" i="1" s="1"/>
  <c r="Q39" i="1"/>
  <c r="Q40" i="1"/>
  <c r="Q35" i="1"/>
  <c r="Q23" i="1"/>
  <c r="Q41" i="1"/>
  <c r="C24" i="5" l="1"/>
  <c r="S29" i="4"/>
  <c r="AK29" i="4" s="1"/>
  <c r="F29" i="4"/>
  <c r="AB29" i="4" s="1"/>
  <c r="G190" i="3"/>
  <c r="A190" i="3"/>
  <c r="B18" i="5" l="1"/>
  <c r="B17" i="5"/>
  <c r="B16" i="5"/>
  <c r="B15" i="5"/>
  <c r="C21" i="4"/>
  <c r="B14" i="5" s="1"/>
  <c r="C19" i="4"/>
  <c r="B12" i="5" s="1"/>
  <c r="C18" i="4"/>
  <c r="C17" i="4"/>
  <c r="C16" i="4"/>
  <c r="C15" i="4"/>
  <c r="I185" i="3" l="1"/>
  <c r="K56" i="1" s="1"/>
  <c r="I112" i="3"/>
  <c r="I113" i="3" s="1"/>
  <c r="K41" i="1" s="1"/>
  <c r="I106" i="3"/>
  <c r="I107" i="3" s="1"/>
  <c r="K40" i="1" s="1"/>
  <c r="O56" i="1" l="1"/>
  <c r="S56" i="1"/>
  <c r="S57" i="1" s="1"/>
  <c r="H22" i="4" s="1"/>
  <c r="I22" i="4" s="1"/>
  <c r="O40" i="1"/>
  <c r="S40" i="1"/>
  <c r="O41" i="1"/>
  <c r="S41" i="1"/>
  <c r="I122" i="3"/>
  <c r="K44" i="1" s="1"/>
  <c r="I134" i="3"/>
  <c r="K46" i="1" s="1"/>
  <c r="I81" i="3"/>
  <c r="K34" i="1" s="1"/>
  <c r="O44" i="1" l="1"/>
  <c r="S44" i="1"/>
  <c r="O46" i="1"/>
  <c r="S46" i="1"/>
  <c r="W22" i="4"/>
  <c r="M22" i="4"/>
  <c r="R22" i="4"/>
  <c r="I128" i="3"/>
  <c r="K45" i="1" s="1"/>
  <c r="O45" i="1" l="1"/>
  <c r="S45" i="1"/>
  <c r="D157" i="3"/>
  <c r="I157" i="3" s="1"/>
  <c r="I158" i="3" s="1"/>
  <c r="K50" i="1" s="1"/>
  <c r="D151" i="3"/>
  <c r="I151" i="3" s="1"/>
  <c r="I152" i="3" s="1"/>
  <c r="K49" i="1" s="1"/>
  <c r="D145" i="3"/>
  <c r="I145" i="3" s="1"/>
  <c r="I146" i="3" s="1"/>
  <c r="K48" i="1" s="1"/>
  <c r="D139" i="3"/>
  <c r="I139" i="3" s="1"/>
  <c r="I140" i="3" s="1"/>
  <c r="K47" i="1" s="1"/>
  <c r="I87" i="3"/>
  <c r="K35" i="1" s="1"/>
  <c r="O47" i="1" l="1"/>
  <c r="S47" i="1"/>
  <c r="O49" i="1"/>
  <c r="S49" i="1"/>
  <c r="O35" i="1"/>
  <c r="S35" i="1"/>
  <c r="O50" i="1"/>
  <c r="S50" i="1"/>
  <c r="A25" i="13"/>
  <c r="E21" i="13"/>
  <c r="J43" i="3"/>
  <c r="J65" i="3" s="1"/>
  <c r="J100" i="3" s="1"/>
  <c r="I43" i="3"/>
  <c r="I37" i="3"/>
  <c r="B28" i="3"/>
  <c r="D28" i="3"/>
  <c r="B29" i="3"/>
  <c r="B16" i="3"/>
  <c r="I20" i="3"/>
  <c r="K19" i="1" s="1"/>
  <c r="D16" i="3"/>
  <c r="B17" i="3"/>
  <c r="I32" i="3" l="1"/>
  <c r="K21" i="1" s="1"/>
  <c r="O21" i="1" l="1"/>
  <c r="S21" i="1"/>
  <c r="B68" i="3" l="1"/>
  <c r="Q31" i="1"/>
  <c r="D68" i="3"/>
  <c r="B69" i="3"/>
  <c r="D62" i="3"/>
  <c r="B63" i="3"/>
  <c r="B62" i="3"/>
  <c r="A60" i="3"/>
  <c r="B48" i="3"/>
  <c r="A46" i="3"/>
  <c r="D48" i="3"/>
  <c r="B49" i="3"/>
  <c r="B22" i="3"/>
  <c r="A14" i="3"/>
  <c r="A6" i="3"/>
  <c r="D22" i="3"/>
  <c r="B23" i="3"/>
  <c r="S48" i="1" l="1"/>
  <c r="O48" i="1"/>
  <c r="S31" i="1"/>
  <c r="O31" i="1"/>
  <c r="I52" i="3"/>
  <c r="K26" i="1" s="1"/>
  <c r="I26" i="3"/>
  <c r="K20" i="1" s="1"/>
  <c r="S54" i="1" l="1"/>
  <c r="H21" i="4" s="1"/>
  <c r="B8" i="3"/>
  <c r="D16" i="1"/>
  <c r="D8" i="3" s="1"/>
  <c r="B16" i="1"/>
  <c r="B9" i="3" s="1"/>
  <c r="E18" i="5" l="1"/>
  <c r="G18" i="5" s="1"/>
  <c r="B13" i="5" l="1"/>
  <c r="I11" i="3" l="1"/>
  <c r="A4" i="3"/>
  <c r="I44" i="3" l="1"/>
  <c r="K23" i="1" s="1"/>
  <c r="O23" i="1" l="1"/>
  <c r="S23" i="1"/>
  <c r="AV21" i="4"/>
  <c r="AS17" i="4" l="1"/>
  <c r="AS16" i="4"/>
  <c r="C20" i="4"/>
  <c r="AV20" i="4"/>
  <c r="AS20" i="4"/>
  <c r="AS18" i="4" l="1"/>
  <c r="F5" i="4"/>
  <c r="AB6" i="4" s="1"/>
  <c r="O5" i="4"/>
  <c r="AG6" i="4" s="1"/>
  <c r="AG8" i="4"/>
  <c r="AB10" i="4"/>
  <c r="A12" i="4"/>
  <c r="AS15" i="4"/>
  <c r="AV15" i="4"/>
  <c r="AV16" i="4"/>
  <c r="AV17" i="4"/>
  <c r="B11" i="5"/>
  <c r="AV18" i="4"/>
  <c r="AS19" i="4"/>
  <c r="AV19" i="4"/>
  <c r="AS21" i="4"/>
  <c r="A33" i="4"/>
  <c r="B10" i="5" l="1"/>
  <c r="I101" i="3" l="1"/>
  <c r="K39" i="1" s="1"/>
  <c r="S19" i="1"/>
  <c r="O19" i="1"/>
  <c r="I38" i="3"/>
  <c r="K22" i="1" s="1"/>
  <c r="I66" i="3"/>
  <c r="K30" i="1" s="1"/>
  <c r="O39" i="1" l="1"/>
  <c r="S39" i="1"/>
  <c r="S42" i="1" s="1"/>
  <c r="O22" i="1"/>
  <c r="S22" i="1"/>
  <c r="O20" i="1"/>
  <c r="A14" i="1" l="1"/>
  <c r="A5" i="3" s="1"/>
  <c r="O26" i="1" l="1"/>
  <c r="A27" i="5" l="1"/>
  <c r="G2" i="5" l="1"/>
  <c r="O30" i="1" l="1"/>
  <c r="B3" i="3" l="1"/>
  <c r="B2" i="3"/>
  <c r="C5" i="5"/>
  <c r="B9" i="5" l="1"/>
  <c r="B8" i="5"/>
  <c r="Q20" i="1" l="1"/>
  <c r="S20" i="1" s="1"/>
  <c r="S24" i="1" s="1"/>
  <c r="Q26" i="1"/>
  <c r="S26" i="1" s="1"/>
  <c r="S28" i="1" s="1"/>
  <c r="H20" i="4"/>
  <c r="Q30" i="1"/>
  <c r="S30" i="1" s="1"/>
  <c r="S32" i="1" s="1"/>
  <c r="Q34" i="1"/>
  <c r="K16" i="1"/>
  <c r="O16" i="1" s="1"/>
  <c r="I12" i="3"/>
  <c r="H18" i="4" l="1"/>
  <c r="E11" i="5" s="1"/>
  <c r="H17" i="4"/>
  <c r="E13" i="5"/>
  <c r="G13" i="5" s="1"/>
  <c r="E14" i="5"/>
  <c r="S16" i="1"/>
  <c r="S17" i="1" s="1"/>
  <c r="S34" i="1"/>
  <c r="S36" i="1" s="1"/>
  <c r="S59" i="1" l="1"/>
  <c r="H15" i="4"/>
  <c r="E17" i="5"/>
  <c r="G17" i="5" s="1"/>
  <c r="I20" i="4"/>
  <c r="E15" i="5"/>
  <c r="G15" i="5" s="1"/>
  <c r="E16" i="5"/>
  <c r="G16" i="5" s="1"/>
  <c r="I21" i="4"/>
  <c r="I18" i="4"/>
  <c r="O34" i="1"/>
  <c r="V59" i="1" s="1"/>
  <c r="H19" i="4" l="1"/>
  <c r="E12" i="5" s="1"/>
  <c r="G12" i="5" s="1"/>
  <c r="H16" i="4"/>
  <c r="W20" i="4"/>
  <c r="R20" i="4"/>
  <c r="M20" i="4"/>
  <c r="R21" i="4"/>
  <c r="M21" i="4"/>
  <c r="W21" i="4"/>
  <c r="R18" i="4"/>
  <c r="M18" i="4"/>
  <c r="AG18" i="4"/>
  <c r="W18" i="4"/>
  <c r="G14" i="5"/>
  <c r="G11" i="5"/>
  <c r="I19" i="4" l="1"/>
  <c r="W19" i="4" s="1"/>
  <c r="M19" i="4" l="1"/>
  <c r="R19" i="4"/>
  <c r="E10" i="5"/>
  <c r="I17" i="4" l="1"/>
  <c r="W17" i="4" s="1"/>
  <c r="E9" i="5" l="1"/>
  <c r="R17" i="4"/>
  <c r="AG17" i="4"/>
  <c r="M17" i="4"/>
  <c r="G10" i="5"/>
  <c r="I16" i="4"/>
  <c r="W16" i="4" l="1"/>
  <c r="W23" i="4" s="1"/>
  <c r="M16" i="4"/>
  <c r="R16" i="4"/>
  <c r="AG16" i="4"/>
  <c r="G9" i="5" l="1"/>
  <c r="L5" i="5" l="1"/>
  <c r="E8" i="5" l="1"/>
  <c r="H23" i="4"/>
  <c r="I15" i="4"/>
  <c r="G22" i="4" l="1"/>
  <c r="I23" i="4"/>
  <c r="R15" i="4"/>
  <c r="R23" i="4" s="1"/>
  <c r="V23" i="4" s="1"/>
  <c r="M15" i="4"/>
  <c r="M23" i="4" s="1"/>
  <c r="AG15" i="4"/>
  <c r="G16" i="4"/>
  <c r="AA23" i="4"/>
  <c r="G19" i="4"/>
  <c r="G20" i="4"/>
  <c r="G17" i="4"/>
  <c r="G18" i="4"/>
  <c r="G21" i="4"/>
  <c r="H24" i="4"/>
  <c r="G15" i="4"/>
  <c r="E19" i="5"/>
  <c r="E20" i="5" s="1"/>
  <c r="G8" i="5"/>
  <c r="G19" i="5" s="1"/>
  <c r="G20" i="5" s="1"/>
  <c r="G23" i="4" l="1"/>
  <c r="G24" i="4" s="1"/>
  <c r="Q23" i="4"/>
  <c r="Q24" i="4" s="1"/>
  <c r="V24" i="4" s="1"/>
  <c r="AA24" i="4" s="1"/>
  <c r="M24" i="4"/>
  <c r="R24" i="4" s="1"/>
  <c r="W24" i="4" s="1"/>
  <c r="I24" i="4"/>
  <c r="L23" i="4"/>
  <c r="L24" i="4" s="1"/>
  <c r="AS23" i="4" l="1"/>
</calcChain>
</file>

<file path=xl/sharedStrings.xml><?xml version="1.0" encoding="utf-8"?>
<sst xmlns="http://schemas.openxmlformats.org/spreadsheetml/2006/main" count="651" uniqueCount="298">
  <si>
    <t>ORÇAMENTO DISCRIMINATIVO</t>
  </si>
  <si>
    <t>Proponente</t>
  </si>
  <si>
    <t>Empreendimento ( Nome/Apelido)</t>
  </si>
  <si>
    <t>Município</t>
  </si>
  <si>
    <t>UF</t>
  </si>
  <si>
    <t>MG</t>
  </si>
  <si>
    <t>Programa</t>
  </si>
  <si>
    <t>Data-Base (mês de referência)</t>
  </si>
  <si>
    <t>ITEM</t>
  </si>
  <si>
    <t>CÓDIGO</t>
  </si>
  <si>
    <t>FONTE</t>
  </si>
  <si>
    <t>DESCRIÇÃO DOS SERVIÇOS</t>
  </si>
  <si>
    <t>UN</t>
  </si>
  <si>
    <t>QUANT</t>
  </si>
  <si>
    <t>VALORES (R$)</t>
  </si>
  <si>
    <t>CUSTO</t>
  </si>
  <si>
    <t>PREÇO</t>
  </si>
  <si>
    <t>UNITÁRIO</t>
  </si>
  <si>
    <t>TOTAL ITEM</t>
  </si>
  <si>
    <t>SERVIÇOS PRELIMINARES</t>
  </si>
  <si>
    <t>1.1</t>
  </si>
  <si>
    <t>SUB TOTAL:</t>
  </si>
  <si>
    <t>M2</t>
  </si>
  <si>
    <t>3.1</t>
  </si>
  <si>
    <t>4.1</t>
  </si>
  <si>
    <t>5.1</t>
  </si>
  <si>
    <t>SUB TOTAL :</t>
  </si>
  <si>
    <t>TOTAL DA OBRA</t>
  </si>
  <si>
    <t>Declaro para os devidos fins que os itens apresentados neste Orçamento Discriminativo estão com os quantitativos compatíveis com os projetos / especificações técnicas que compõem a proposta do referido Contrato de Repasse e os custos unitários previstos são iguais ou inferiores à mediana do SINAPI atendendo, portanto, à Lei de Diretrizes Orçamentárias - LDO em vigor.</t>
  </si>
  <si>
    <t>MEMORIA DE CÁCULO</t>
  </si>
  <si>
    <t>OBJETO:</t>
  </si>
  <si>
    <t>LOCAL:</t>
  </si>
  <si>
    <t>CÓDIGO:</t>
  </si>
  <si>
    <t>LOGRADOURO</t>
  </si>
  <si>
    <t>Compr.</t>
  </si>
  <si>
    <t>Larg.</t>
  </si>
  <si>
    <t>Espessura</t>
  </si>
  <si>
    <t>Repet.</t>
  </si>
  <si>
    <t>Área Total (m²)</t>
  </si>
  <si>
    <t>OBS:</t>
  </si>
  <si>
    <t>TOTAL</t>
  </si>
  <si>
    <t>Cronograma Físico-Financeiro - Recursos do OGU - Setor Público</t>
  </si>
  <si>
    <t>Cronograma</t>
  </si>
  <si>
    <t>Programa:</t>
  </si>
  <si>
    <t>Modalidade:</t>
  </si>
  <si>
    <t>Empreendimentos:</t>
  </si>
  <si>
    <t>x</t>
  </si>
  <si>
    <t>Global</t>
  </si>
  <si>
    <t>Individual</t>
  </si>
  <si>
    <t>Agente Financeiro</t>
  </si>
  <si>
    <t>Empresa</t>
  </si>
  <si>
    <t>Valor do Repasse - R$</t>
  </si>
  <si>
    <t>Início da Obra</t>
  </si>
  <si>
    <t>Localização</t>
  </si>
  <si>
    <t>Tipo de Serviço</t>
  </si>
  <si>
    <t>Item</t>
  </si>
  <si>
    <t>Discriminação dos Serviços</t>
  </si>
  <si>
    <t>Peso</t>
  </si>
  <si>
    <t>Vl. Obras/Serviços</t>
  </si>
  <si>
    <t>Mês 01</t>
  </si>
  <si>
    <t>Mês 02</t>
  </si>
  <si>
    <t>Mês 03</t>
  </si>
  <si>
    <t>Mês 04</t>
  </si>
  <si>
    <t>%</t>
  </si>
  <si>
    <t>R$</t>
  </si>
  <si>
    <t>-</t>
  </si>
  <si>
    <t>Total</t>
  </si>
  <si>
    <t>Simples</t>
  </si>
  <si>
    <t>Acumulado</t>
  </si>
  <si>
    <r>
      <rPr>
        <sz val="9"/>
        <rFont val="Arial"/>
        <family val="2"/>
      </rPr>
      <t>Regime de Execução:</t>
    </r>
  </si>
  <si>
    <r>
      <rPr>
        <sz val="9"/>
        <rFont val="Arial"/>
        <family val="2"/>
      </rPr>
      <t>AD = Administração Direta ; EG = Empreitada Global</t>
    </r>
  </si>
  <si>
    <r>
      <rPr>
        <sz val="9"/>
        <rFont val="Arial"/>
        <family val="2"/>
      </rPr>
      <t>Tipo de Contrapartida:</t>
    </r>
  </si>
  <si>
    <r>
      <rPr>
        <sz val="9"/>
        <rFont val="Arial"/>
        <family val="2"/>
      </rPr>
      <t>OS = Obras e Serviços ; F = Financeira</t>
    </r>
  </si>
  <si>
    <r>
      <rPr>
        <sz val="9"/>
        <rFont val="Arial"/>
        <family val="2"/>
      </rPr>
      <t>Proponente:</t>
    </r>
  </si>
  <si>
    <r>
      <rPr>
        <sz val="9"/>
        <rFont val="Arial"/>
        <family val="2"/>
      </rPr>
      <t>Empreendimento:</t>
    </r>
  </si>
  <si>
    <r>
      <rPr>
        <sz val="9"/>
        <rFont val="Arial"/>
        <family val="2"/>
      </rPr>
      <t>Item</t>
    </r>
  </si>
  <si>
    <r>
      <rPr>
        <sz val="9"/>
        <rFont val="Arial"/>
        <family val="2"/>
      </rPr>
      <t>Discriminação</t>
    </r>
  </si>
  <si>
    <r>
      <rPr>
        <sz val="9"/>
        <rFont val="Arial"/>
        <family val="2"/>
      </rPr>
      <t>Investimento total (em R$)</t>
    </r>
  </si>
  <si>
    <r>
      <rPr>
        <sz val="9"/>
        <rFont val="Arial"/>
        <family val="2"/>
      </rPr>
      <t>REGIME</t>
    </r>
  </si>
  <si>
    <r>
      <rPr>
        <sz val="9"/>
        <rFont val="Arial"/>
        <family val="2"/>
      </rPr>
      <t>TIPO CP</t>
    </r>
  </si>
  <si>
    <r>
      <rPr>
        <sz val="9"/>
        <rFont val="Arial"/>
        <family val="2"/>
      </rPr>
      <t>Recursos União</t>
    </r>
  </si>
  <si>
    <r>
      <rPr>
        <sz val="9"/>
        <rFont val="Arial"/>
        <family val="2"/>
      </rPr>
      <t>Contrapartida</t>
    </r>
  </si>
  <si>
    <r>
      <rPr>
        <sz val="9"/>
        <rFont val="Arial"/>
        <family val="2"/>
      </rPr>
      <t>Outras fontes</t>
    </r>
  </si>
  <si>
    <r>
      <rPr>
        <sz val="9"/>
        <rFont val="Arial"/>
        <family val="2"/>
      </rPr>
      <t>TOTAL</t>
    </r>
  </si>
  <si>
    <r>
      <rPr>
        <sz val="9"/>
        <color rgb="FF0000FF"/>
        <rFont val="Arial"/>
        <family val="2"/>
      </rPr>
      <t>EG</t>
    </r>
  </si>
  <si>
    <r>
      <rPr>
        <sz val="9"/>
        <rFont val="Arial"/>
        <family val="2"/>
      </rPr>
      <t>F</t>
    </r>
  </si>
  <si>
    <r>
      <rPr>
        <sz val="9"/>
        <rFont val="Arial"/>
        <family val="2"/>
      </rPr>
      <t>Total</t>
    </r>
  </si>
  <si>
    <r>
      <rPr>
        <sz val="9"/>
        <rFont val="Arial"/>
        <family val="2"/>
      </rPr>
      <t>-</t>
    </r>
  </si>
  <si>
    <t>2.1</t>
  </si>
  <si>
    <t>Área</t>
  </si>
  <si>
    <t>Unidade</t>
  </si>
  <si>
    <t>2.2</t>
  </si>
  <si>
    <t>PREFEITURA MUNICIPAL DE BRASÍLIA DE MINAS</t>
  </si>
  <si>
    <t>PREFEITURA MUNICIPAL BRASILIA DE MINAS/MG</t>
  </si>
  <si>
    <t>Prefeitura Municipal de Brasília de Minas/MG</t>
  </si>
  <si>
    <t>ÁREA DA PLACA</t>
  </si>
  <si>
    <t>Mês 05</t>
  </si>
  <si>
    <t>Empreendimento</t>
  </si>
  <si>
    <t>PAG 02/02</t>
  </si>
  <si>
    <t>BRASILIA DE MINAS/MG</t>
  </si>
  <si>
    <t xml:space="preserve">DESCRIÇÃO: </t>
  </si>
  <si>
    <t>(   ) NÃO DESONERADO ( X ) DESONERADO</t>
  </si>
  <si>
    <t>QCI - Quadro de Composição do Investimento</t>
  </si>
  <si>
    <t>M3</t>
  </si>
  <si>
    <t>M</t>
  </si>
  <si>
    <t>4.0</t>
  </si>
  <si>
    <t>5.0</t>
  </si>
  <si>
    <t>2.0</t>
  </si>
  <si>
    <t>3.0</t>
  </si>
  <si>
    <t>1.0</t>
  </si>
  <si>
    <t>6.0</t>
  </si>
  <si>
    <t>6.1</t>
  </si>
  <si>
    <t>7.0</t>
  </si>
  <si>
    <t>7.1</t>
  </si>
  <si>
    <t>SETOP</t>
  </si>
  <si>
    <t>Custo médio por família (120 FAMÍLIAS)</t>
  </si>
  <si>
    <t xml:space="preserve"> COMPOSIÇÃO DE PREÇO UNITÁRIO</t>
  </si>
  <si>
    <t>DESCRIÇÃO DO SERVIÇO</t>
  </si>
  <si>
    <t xml:space="preserve">DATA BASE: </t>
  </si>
  <si>
    <t xml:space="preserve">UNIDADE: </t>
  </si>
  <si>
    <t>MATERIAL</t>
  </si>
  <si>
    <t>UNID.</t>
  </si>
  <si>
    <t>SUB-TOTAL</t>
  </si>
  <si>
    <t>MÃO DE OBRA</t>
  </si>
  <si>
    <t>PRODUÇÃO DA EQUIPE</t>
  </si>
  <si>
    <t xml:space="preserve">CUSTO </t>
  </si>
  <si>
    <t>TOTAL - R$</t>
  </si>
  <si>
    <t>BDI                %</t>
  </si>
  <si>
    <t>TOTAL DO SERVIÇO - R$</t>
  </si>
  <si>
    <t>______________________________</t>
  </si>
  <si>
    <t>ALDIR MOREIRA FILHO</t>
  </si>
  <si>
    <t>ENGENHEIRO CIVIL- CREA MG 199432/D</t>
  </si>
  <si>
    <t>2.3</t>
  </si>
  <si>
    <t>2.4</t>
  </si>
  <si>
    <t>2.5</t>
  </si>
  <si>
    <t>Peso Total (kg)</t>
  </si>
  <si>
    <t>Volume Total (m³)</t>
  </si>
  <si>
    <t>Área de aberturas</t>
  </si>
  <si>
    <t>4.2</t>
  </si>
  <si>
    <t>H</t>
  </si>
  <si>
    <t>ÁREA TOTAL</t>
  </si>
  <si>
    <t>BRASÍLIA DE MINAS</t>
  </si>
  <si>
    <t>DEMOLIÇÃO- REMOÇÃO- REGULARIZAÇÃO</t>
  </si>
  <si>
    <t>PISO</t>
  </si>
  <si>
    <t>PAISAGISMO</t>
  </si>
  <si>
    <t>6.2</t>
  </si>
  <si>
    <t>6.3</t>
  </si>
  <si>
    <t>6.4</t>
  </si>
  <si>
    <t>CJ</t>
  </si>
  <si>
    <t>ILUMINAÇÃO</t>
  </si>
  <si>
    <t>5.2</t>
  </si>
  <si>
    <t>LUMINÁRIA PÚBLICA LED 200W</t>
  </si>
  <si>
    <t>7.2</t>
  </si>
  <si>
    <t>7.3</t>
  </si>
  <si>
    <t>7.4</t>
  </si>
  <si>
    <t>7.5</t>
  </si>
  <si>
    <t>7.6</t>
  </si>
  <si>
    <t>7.7</t>
  </si>
  <si>
    <t>7.8</t>
  </si>
  <si>
    <t>8.0</t>
  </si>
  <si>
    <t>LIMPEZA DA OBRA</t>
  </si>
  <si>
    <t>8.1</t>
  </si>
  <si>
    <t>COTAÇÃO 1</t>
  </si>
  <si>
    <t>7.9</t>
  </si>
  <si>
    <t>MEIO-FIO  E RAMPA DE ACESSIBILIDADE</t>
  </si>
  <si>
    <t>3.2</t>
  </si>
  <si>
    <t>CONSUMO</t>
  </si>
  <si>
    <t>CUSTO UNITÁRIO</t>
  </si>
  <si>
    <t>SERVIÇOS</t>
  </si>
  <si>
    <t>RAMPA DE ACESSIBILIDADE</t>
  </si>
  <si>
    <t>UM</t>
  </si>
  <si>
    <t>_____________________________________________</t>
  </si>
  <si>
    <t>CPU RAMPA</t>
  </si>
  <si>
    <t>9,67+10,54+21,83+11,51+0,73+0,46+17,1+5,22+44,69+16,34+8,63</t>
  </si>
  <si>
    <t>RAMPAS DE ACESSIBILIDADE (ALERTA)</t>
  </si>
  <si>
    <t>CALÇADA DA PRAÇA (DIRECIONAL)</t>
  </si>
  <si>
    <t>0,4*3</t>
  </si>
  <si>
    <t>17,45+3,6</t>
  </si>
  <si>
    <t>ÁREA CONFORME PROJETO</t>
  </si>
  <si>
    <t>MEIO FIO DO ENTORNO DA PRAÇA</t>
  </si>
  <si>
    <t>461,11+8,42</t>
  </si>
  <si>
    <t>LOMBADA EXISTENTE A REMOVER</t>
  </si>
  <si>
    <t>Comprimento Total (m)</t>
  </si>
  <si>
    <t>ÁREA DA PRAÇA</t>
  </si>
  <si>
    <t>ÁREA DO CANTEIRO</t>
  </si>
  <si>
    <t>ÁREA DO ESTACIONAMENTO</t>
  </si>
  <si>
    <t>MEIO-FIO DO ENTORNO DA PRAÇA, ESTACIONAMENTO E CANTEIRO</t>
  </si>
  <si>
    <t>1,7+6,95+6,2+9,5+10,54+21,83+11,51+0,73+0,46+17,1+5,22+1,5+1,58+2,9+3*13+0,57+0,57+0,59+0,58+0,59+0,54+0,59+0,56+0,54+0,56+0,57+0,6+3,58+15,98+5,55+10,68+7,09</t>
  </si>
  <si>
    <t>UNIDADE</t>
  </si>
  <si>
    <t>RAMPAS PARA CADEIRANTES</t>
  </si>
  <si>
    <t>ÁREA DE PAVIMENTAÇÃO DA PRAÇA</t>
  </si>
  <si>
    <t>POSTE PARA FIXAÇÃO DA LUMINÁRIA</t>
  </si>
  <si>
    <t xml:space="preserve">LUMINÁRIAS </t>
  </si>
  <si>
    <t>BANCOS DE CONCRETO</t>
  </si>
  <si>
    <t>Quant.</t>
  </si>
  <si>
    <t>Duas em cada poste</t>
  </si>
  <si>
    <t>ÁREA DO ESTACONAMENTO</t>
  </si>
  <si>
    <t>DISTÂCIA DE MONTES CLAROS</t>
  </si>
  <si>
    <t>RR-2C (T/m²)</t>
  </si>
  <si>
    <t>DMT</t>
  </si>
  <si>
    <t>Transporte (TxKm)</t>
  </si>
  <si>
    <t>PINTURA DE LIGAÇÃO RR-2C</t>
  </si>
  <si>
    <t>7.10</t>
  </si>
  <si>
    <t>RR-2C</t>
  </si>
  <si>
    <t>CAP 50/70</t>
  </si>
  <si>
    <t>CBUQ</t>
  </si>
  <si>
    <t>CAP 50/70 (T/m³)</t>
  </si>
  <si>
    <t>CBUQ (m³/Km)</t>
  </si>
  <si>
    <t>Volume</t>
  </si>
  <si>
    <t>AREIA</t>
  </si>
  <si>
    <t>COMERCIO LOCAL</t>
  </si>
  <si>
    <t>AREIA (m³/Km)</t>
  </si>
  <si>
    <t>BRITA (m³/Km)</t>
  </si>
  <si>
    <t>CAP/50/70</t>
  </si>
  <si>
    <t>BRITA</t>
  </si>
  <si>
    <t>ESTACIONAMENTO COM ACESSIBILIDADE</t>
  </si>
  <si>
    <t>ÁREA</t>
  </si>
  <si>
    <t>2,9*1,2+1,2*1,2</t>
  </si>
  <si>
    <t>DEMARCAÇÃO DE VAGAS DO ESTACIONAMENTO</t>
  </si>
  <si>
    <t>FAIXA ELEVADA DE PEDESTRE</t>
  </si>
  <si>
    <t>1,5*10,97</t>
  </si>
  <si>
    <t>0,7*0,5</t>
  </si>
  <si>
    <t>461,11+131,79+8,42</t>
  </si>
  <si>
    <t>COTAÇÕES MATERIAIS</t>
  </si>
  <si>
    <t>PRODUTO</t>
  </si>
  <si>
    <t>COTAÇÕES (INCLUSO FRETE)</t>
  </si>
  <si>
    <t>ADOTADO (MÉDIA)</t>
  </si>
  <si>
    <t>LUMINÁRIA PÚBLICA LED 200W COM PLACA SOLAR E FOTOCELULA</t>
  </si>
  <si>
    <t>SITE AMERICANAS-VENDIDO POR DINET INFORMÁTICA</t>
  </si>
  <si>
    <t>SITE SHOPTIME-VENDIDO POR DINET INFORMÁTICA</t>
  </si>
  <si>
    <t>SITE NOBREAKCERTO</t>
  </si>
  <si>
    <t>PAG 01/01</t>
  </si>
  <si>
    <t>CNPJ 18.017.442/0001-06</t>
  </si>
  <si>
    <t>_________________________________________</t>
  </si>
  <si>
    <t>______________________________________</t>
  </si>
  <si>
    <t>PAVIMENTAÇÃ E SINALIZAÇÃO DO ESTACIONAMENTO</t>
  </si>
  <si>
    <t>PLACA DO ESTACIONAMENTO PARA DEFICIENTE</t>
  </si>
  <si>
    <t>MUDA DE ÁRVORE CIPRESTE ITALIANO (DEDO DE DEUS)</t>
  </si>
  <si>
    <t>COTAÇÃO 2</t>
  </si>
  <si>
    <t>SITE MERCADO LIVRE-VENDIDO POR AMK JARDINAGEM_1</t>
  </si>
  <si>
    <t>SITE MERCADO LIVRE-VENDIDO POR BETA FLORES</t>
  </si>
  <si>
    <t>SITE SITIODAMATA.COM</t>
  </si>
  <si>
    <t>CONSTRUÇÃO DE OBRA DE ACESSIBILIDADE DAS VIAS DO ENTORNO DO TERMINAL RODOVIÁRIO DE BRASÍLIA DE MINAS/MG</t>
  </si>
  <si>
    <t>SETOP ABRIL/2022</t>
  </si>
  <si>
    <t>DEMONSTRATIVO DO BDI - COM DESONERAÇÃO - OBRAS DE EDIFICAÇÃO</t>
  </si>
  <si>
    <t>BDI (CONFORME ACÓRDÃO Nº 2622/13 e LEI Nº 13.161 DE 31/08/15)</t>
  </si>
  <si>
    <t>DISCRIMINAÇÃO DAS PARCELAS</t>
  </si>
  <si>
    <r>
      <t xml:space="preserve">SIG.
</t>
    </r>
    <r>
      <rPr>
        <b/>
        <vertAlign val="superscript"/>
        <sz val="8"/>
        <color theme="0"/>
        <rFont val="Arial"/>
        <family val="2"/>
      </rPr>
      <t>(1)</t>
    </r>
  </si>
  <si>
    <t>CONSTRUÇÃO DE EDIFÍCIOS</t>
  </si>
  <si>
    <r>
      <t xml:space="preserve">INC.
</t>
    </r>
    <r>
      <rPr>
        <b/>
        <vertAlign val="superscript"/>
        <sz val="8"/>
        <color theme="0"/>
        <rFont val="Arial"/>
        <family val="2"/>
      </rPr>
      <t>(5)</t>
    </r>
  </si>
  <si>
    <r>
      <t xml:space="preserve">ISS </t>
    </r>
    <r>
      <rPr>
        <b/>
        <vertAlign val="superscript"/>
        <sz val="8"/>
        <color theme="0"/>
        <rFont val="Arial"/>
        <family val="2"/>
      </rPr>
      <t>(2)</t>
    </r>
  </si>
  <si>
    <t>DIFERENCIADO</t>
  </si>
  <si>
    <r>
      <t xml:space="preserve">MATERIAL
</t>
    </r>
    <r>
      <rPr>
        <b/>
        <vertAlign val="superscript"/>
        <sz val="8"/>
        <color theme="0"/>
        <rFont val="Arial"/>
        <family val="2"/>
      </rPr>
      <t>(3)</t>
    </r>
  </si>
  <si>
    <r>
      <t xml:space="preserve">SERVIÇO TERCEIRIZADO </t>
    </r>
    <r>
      <rPr>
        <b/>
        <vertAlign val="superscript"/>
        <sz val="8"/>
        <color theme="0"/>
        <rFont val="Arial"/>
        <family val="2"/>
      </rPr>
      <t xml:space="preserve">(4)
 </t>
    </r>
    <r>
      <rPr>
        <b/>
        <sz val="8"/>
        <color theme="0"/>
        <rFont val="Arial"/>
        <family val="2"/>
      </rPr>
      <t>(ISS=5%)</t>
    </r>
  </si>
  <si>
    <t>CUSTO DIRETO</t>
  </si>
  <si>
    <t>CD</t>
  </si>
  <si>
    <t>ADMINISTRAÇÃO CENTRAL</t>
  </si>
  <si>
    <t>AC</t>
  </si>
  <si>
    <t>LUCRO BRUTO</t>
  </si>
  <si>
    <t>L</t>
  </si>
  <si>
    <t>DESPESAS FINANCEIRAS</t>
  </si>
  <si>
    <t>DF</t>
  </si>
  <si>
    <t>SEGUROS, GARANTIAS E RISCO</t>
  </si>
  <si>
    <t>SEGUROS + GARANTIAS</t>
  </si>
  <si>
    <t>S</t>
  </si>
  <si>
    <t>RISCO(*)</t>
  </si>
  <si>
    <t>R</t>
  </si>
  <si>
    <t>TRIBUTOS</t>
  </si>
  <si>
    <t>I</t>
  </si>
  <si>
    <t>PV</t>
  </si>
  <si>
    <t>ISS</t>
  </si>
  <si>
    <r>
      <t>ISS</t>
    </r>
    <r>
      <rPr>
        <vertAlign val="superscript"/>
        <sz val="8"/>
        <rFont val="Arial"/>
        <family val="2"/>
      </rPr>
      <t>(2)</t>
    </r>
  </si>
  <si>
    <t>PIS</t>
  </si>
  <si>
    <t>COFINS</t>
  </si>
  <si>
    <t>CPRB</t>
  </si>
  <si>
    <t>INSS</t>
  </si>
  <si>
    <t>FÓRMULA DO BDI</t>
  </si>
  <si>
    <t>(1 + (AC + S + G + R)) x (1 + DF) x  (1 + L)</t>
  </si>
  <si>
    <t>(1 - (I + CPRB))</t>
  </si>
  <si>
    <t>BDI (NUMERADOR)</t>
  </si>
  <si>
    <t>BDI (DENOMINADOR)</t>
  </si>
  <si>
    <t>BDI</t>
  </si>
  <si>
    <t>OBSERVAÇÕES</t>
  </si>
  <si>
    <r>
      <rPr>
        <vertAlign val="superscript"/>
        <sz val="8"/>
        <rFont val="Arial"/>
        <family val="2"/>
      </rPr>
      <t xml:space="preserve">(1) </t>
    </r>
    <r>
      <rPr>
        <sz val="8"/>
        <rFont val="Arial"/>
        <family val="2"/>
      </rPr>
      <t>SIGLA.</t>
    </r>
    <r>
      <rPr>
        <vertAlign val="superscript"/>
        <sz val="8"/>
        <rFont val="Arial"/>
        <family val="2"/>
      </rPr>
      <t xml:space="preserve">
(2) </t>
    </r>
    <r>
      <rPr>
        <sz val="8"/>
        <rFont val="Arial"/>
        <family val="2"/>
      </rPr>
      <t xml:space="preserve">QUANTO AO ISS O TCU ORIENTA OBSERVAR A LEGISLAÇÃO DO MUNICÍPIO. NO REFERIDO ACÓRDÃO O TCU PARTIU DA PREMISSA DE INCIDÊNCIA DO ISS EM 50% DO PREÇO DE VENDA, COM PERCENTUAIS DE 2%, 3%, 4% E 5%.
</t>
    </r>
    <r>
      <rPr>
        <vertAlign val="superscript"/>
        <sz val="8"/>
        <rFont val="Arial"/>
        <family val="2"/>
      </rPr>
      <t xml:space="preserve">(3) </t>
    </r>
    <r>
      <rPr>
        <sz val="8"/>
        <rFont val="Arial"/>
        <family val="2"/>
      </rPr>
      <t xml:space="preserve">BDI DIFERENCIADO A SER APLICADO EM CASOS DE FORNECIMENTO DE MATERIAIS E EQUIPAMENTOS. EX. ELEVADOR, ESCADAS ROLANTES, EQUIPAMENTOS DE REFRIGERAÇÃO ETC.
</t>
    </r>
    <r>
      <rPr>
        <vertAlign val="superscript"/>
        <sz val="8"/>
        <rFont val="Arial"/>
        <family val="2"/>
      </rPr>
      <t xml:space="preserve">(4) </t>
    </r>
    <r>
      <rPr>
        <sz val="8"/>
        <rFont val="Arial"/>
        <family val="2"/>
      </rPr>
      <t xml:space="preserve">BDI DIFERENCIADO A SER APLICADO PARA SERVIÇOS TERCEIRIZADOS.
</t>
    </r>
    <r>
      <rPr>
        <vertAlign val="superscript"/>
        <sz val="8"/>
        <rFont val="Arial"/>
        <family val="2"/>
      </rPr>
      <t xml:space="preserve">(5) </t>
    </r>
    <r>
      <rPr>
        <sz val="8"/>
        <rFont val="Arial"/>
        <family val="2"/>
      </rPr>
      <t>INCIDÊNCIA.</t>
    </r>
  </si>
  <si>
    <t>DEMONSTRATIVO DO BDI - COM DESONERAÇÃO - OBRAS RODOVIÁRIAS</t>
  </si>
  <si>
    <t>CONSTRUÇÃO DE RODOVIAS E FERROVIAS</t>
  </si>
  <si>
    <r>
      <t xml:space="preserve">INC.
</t>
    </r>
    <r>
      <rPr>
        <b/>
        <vertAlign val="superscript"/>
        <sz val="8"/>
        <color theme="0"/>
        <rFont val="Arial"/>
        <family val="2"/>
      </rPr>
      <t>(6)</t>
    </r>
  </si>
  <si>
    <r>
      <t xml:space="preserve">MATERIAL
</t>
    </r>
    <r>
      <rPr>
        <b/>
        <vertAlign val="superscript"/>
        <sz val="8"/>
        <color theme="0"/>
        <rFont val="Arial"/>
        <family val="2"/>
      </rPr>
      <t>(5)</t>
    </r>
  </si>
  <si>
    <r>
      <t xml:space="preserve">SERVIÇO TERCEIRIZADO
</t>
    </r>
    <r>
      <rPr>
        <b/>
        <vertAlign val="superscript"/>
        <sz val="8"/>
        <color theme="0"/>
        <rFont val="Arial"/>
        <family val="2"/>
      </rPr>
      <t>(4)</t>
    </r>
    <r>
      <rPr>
        <b/>
        <sz val="8"/>
        <color theme="0"/>
        <rFont val="Arial"/>
        <family val="2"/>
      </rPr>
      <t xml:space="preserve">
(ISS=5%)</t>
    </r>
  </si>
  <si>
    <r>
      <t xml:space="preserve">EQUIPAMENTO
</t>
    </r>
    <r>
      <rPr>
        <b/>
        <vertAlign val="superscript"/>
        <sz val="8"/>
        <color theme="0"/>
        <rFont val="Arial"/>
        <family val="2"/>
      </rPr>
      <t xml:space="preserve">(3)
</t>
    </r>
    <r>
      <rPr>
        <b/>
        <sz val="8"/>
        <color theme="0"/>
        <rFont val="Arial"/>
        <family val="2"/>
      </rPr>
      <t>(ISS=5%)</t>
    </r>
  </si>
  <si>
    <r>
      <rPr>
        <vertAlign val="superscript"/>
        <sz val="8"/>
        <rFont val="Arial"/>
        <family val="2"/>
      </rPr>
      <t>(1)</t>
    </r>
    <r>
      <rPr>
        <sz val="8"/>
        <rFont val="Arial"/>
        <family val="2"/>
      </rPr>
      <t xml:space="preserve"> SIGLA.
</t>
    </r>
    <r>
      <rPr>
        <vertAlign val="superscript"/>
        <sz val="8"/>
        <rFont val="Arial"/>
        <family val="2"/>
      </rPr>
      <t xml:space="preserve">(2) </t>
    </r>
    <r>
      <rPr>
        <sz val="8"/>
        <rFont val="Arial"/>
        <family val="2"/>
      </rPr>
      <t xml:space="preserve">INCIDÊNCIA DE ISS EM 70% DO PREÇO DE VENDA, COM PERCENTUAIS DE 2%, 3%, 4% E 5%.
</t>
    </r>
    <r>
      <rPr>
        <vertAlign val="superscript"/>
        <sz val="8"/>
        <rFont val="Arial"/>
        <family val="2"/>
      </rPr>
      <t xml:space="preserve">(3) </t>
    </r>
    <r>
      <rPr>
        <sz val="8"/>
        <rFont val="Arial"/>
        <family val="2"/>
      </rPr>
      <t xml:space="preserve">BDI DIFERENCIADO A SER APLICADO EM LOCAÇÃO DE CUSTO HORÁRIO DE EQUIPAMENTO.
</t>
    </r>
    <r>
      <rPr>
        <vertAlign val="superscript"/>
        <sz val="8"/>
        <rFont val="Arial"/>
        <family val="2"/>
      </rPr>
      <t xml:space="preserve">(4) </t>
    </r>
    <r>
      <rPr>
        <sz val="8"/>
        <rFont val="Arial"/>
        <family val="2"/>
      </rPr>
      <t xml:space="preserve">BDI DIFERENCIADO A SER APLICADO PARA SERVIÇOS TERCEIRIZADOS.
</t>
    </r>
    <r>
      <rPr>
        <vertAlign val="superscript"/>
        <sz val="8"/>
        <rFont val="Arial"/>
        <family val="2"/>
      </rPr>
      <t xml:space="preserve">(5) </t>
    </r>
    <r>
      <rPr>
        <sz val="8"/>
        <rFont val="Arial"/>
        <family val="2"/>
      </rPr>
      <t xml:space="preserve">BDI DIFERENCIADO A SER APLICADO PARA FORNECIMENTO DE MATERIAL BETUMINOSO E MATERIAL DE JAZIDA.
</t>
    </r>
    <r>
      <rPr>
        <vertAlign val="superscript"/>
        <sz val="8"/>
        <rFont val="Arial"/>
        <family val="2"/>
      </rPr>
      <t xml:space="preserve">(6) </t>
    </r>
    <r>
      <rPr>
        <sz val="8"/>
        <rFont val="Arial"/>
        <family val="2"/>
      </rPr>
      <t>INCIDÊNCIA.</t>
    </r>
  </si>
  <si>
    <t>BDI DIFERENCIADO EDIFICAÇÕES:</t>
  </si>
  <si>
    <t>BDI DIFERENCIADO OBRAS RODOVIÁRIAS:</t>
  </si>
  <si>
    <t>Setor Público</t>
  </si>
  <si>
    <t>RT. ALDIR MOREIRA FILHO - CREA MG 199.432/D</t>
  </si>
  <si>
    <t xml:space="preserve">                          RT. ALDIR MOREIRA FILHO - CREA MG 199.432/D</t>
  </si>
  <si>
    <t>PREFEITURA MUNICIPAL DE BRASÍLIA DE MINAS - CNPJ 18.017.442/0001-06</t>
  </si>
  <si>
    <t>LOCAL E DATA: BRASILIA DE MINAS, JUNHO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</si>
</sst>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R$&quot;\ * #,##0.00_-;\-&quot;R$&quot;\ * #,##0.00_-;_-&quot;R$&quot;\ * &quot;-&quot;??_-;_-@_-"/>
    <numFmt numFmtId="164" formatCode="_-* #,##0.00_-;\-* #,##0.00_-;_-* \-??_-;_-@_-"/>
    <numFmt numFmtId="165" formatCode="_(&quot;R$ &quot;* #,##0.00_);_(&quot;R$ &quot;* \(#,##0.00\);_(&quot;R$ &quot;* &quot;-&quot;??_);_(@_)"/>
    <numFmt numFmtId="166" formatCode="&quot;R$ &quot;#,##0.00_);[Red]\(&quot;R$ &quot;#,##0.00\)"/>
    <numFmt numFmtId="167" formatCode="0.0000"/>
    <numFmt numFmtId="168" formatCode="#,##0.0000"/>
    <numFmt numFmtId="169" formatCode="0.00000"/>
    <numFmt numFmtId="170" formatCode="&quot;R$&quot;\ #,##0.00"/>
    <numFmt numFmtId="171" formatCode="0.000%"/>
  </numFmts>
  <fonts count="41" x14ac:knownFonts="1">
    <font>
      <sz val="10"/>
      <color rgb="FF000000"/>
      <name val="Times New Roman"/>
      <charset val="204"/>
    </font>
    <font>
      <sz val="10"/>
      <color rgb="FF000000"/>
      <name val="Times New Roman"/>
      <family val="1"/>
    </font>
    <font>
      <b/>
      <sz val="9"/>
      <name val="Arial"/>
      <family val="2"/>
    </font>
    <font>
      <sz val="9"/>
      <color rgb="FF000000"/>
      <name val="Times New Roman"/>
      <family val="1"/>
    </font>
    <font>
      <b/>
      <sz val="9"/>
      <color rgb="FFFFFFFF"/>
      <name val="Arial"/>
      <family val="2"/>
    </font>
    <font>
      <sz val="9"/>
      <name val="Arial"/>
      <family val="2"/>
    </font>
    <font>
      <sz val="9"/>
      <name val="Times New Roman"/>
      <family val="1"/>
    </font>
    <font>
      <b/>
      <sz val="9"/>
      <color rgb="FF000000"/>
      <name val="Arial"/>
      <family val="2"/>
    </font>
    <font>
      <sz val="9"/>
      <color rgb="FF000000"/>
      <name val="Arial"/>
      <family val="2"/>
    </font>
    <font>
      <sz val="9"/>
      <name val="Arial"/>
      <family val="2"/>
    </font>
    <font>
      <sz val="7.5"/>
      <name val="Arial"/>
      <family val="2"/>
    </font>
    <font>
      <sz val="9"/>
      <color rgb="FF0000FF"/>
      <name val="Arial"/>
      <family val="2"/>
    </font>
    <font>
      <b/>
      <sz val="10"/>
      <name val="Arial"/>
      <family val="2"/>
    </font>
    <font>
      <sz val="10"/>
      <name val="Arial"/>
      <family val="2"/>
    </font>
    <font>
      <b/>
      <sz val="8"/>
      <name val="Arial"/>
      <family val="2"/>
    </font>
    <font>
      <sz val="9"/>
      <color rgb="FFFF0000"/>
      <name val="Times New Roman"/>
      <family val="1"/>
    </font>
    <font>
      <sz val="11"/>
      <color rgb="FF000000"/>
      <name val="Calibri"/>
      <family val="2"/>
      <charset val="1"/>
    </font>
    <font>
      <sz val="10"/>
      <color rgb="FF000000"/>
      <name val="Times New Roman"/>
      <family val="1"/>
    </font>
    <font>
      <sz val="8"/>
      <color rgb="FF000000"/>
      <name val="Arial"/>
      <family val="2"/>
    </font>
    <font>
      <sz val="8"/>
      <name val="Times New Roman"/>
      <family val="1"/>
    </font>
    <font>
      <sz val="12"/>
      <name val="Arial"/>
      <family val="2"/>
    </font>
    <font>
      <sz val="12"/>
      <color rgb="FF000000"/>
      <name val="Arial"/>
      <family val="2"/>
    </font>
    <font>
      <b/>
      <sz val="16"/>
      <color rgb="FF000000"/>
      <name val="Arial"/>
      <family val="2"/>
    </font>
    <font>
      <b/>
      <sz val="10"/>
      <color rgb="FF000000"/>
      <name val="Arial"/>
      <family val="2"/>
    </font>
    <font>
      <b/>
      <sz val="18"/>
      <color theme="0"/>
      <name val="Arial"/>
      <family val="2"/>
    </font>
    <font>
      <b/>
      <sz val="11"/>
      <color theme="0"/>
      <name val="Arial"/>
      <family val="2"/>
    </font>
    <font>
      <b/>
      <sz val="20"/>
      <color theme="0"/>
      <name val="Arial"/>
      <family val="2"/>
    </font>
    <font>
      <b/>
      <sz val="28"/>
      <color theme="0"/>
      <name val="Arial"/>
      <family val="2"/>
    </font>
    <font>
      <b/>
      <sz val="22"/>
      <color theme="0"/>
      <name val="Arial"/>
      <family val="2"/>
    </font>
    <font>
      <b/>
      <sz val="12"/>
      <color theme="0"/>
      <name val="Arial"/>
      <family val="2"/>
    </font>
    <font>
      <b/>
      <sz val="14"/>
      <color theme="0"/>
      <name val="Arial"/>
      <family val="2"/>
    </font>
    <font>
      <b/>
      <sz val="10"/>
      <color rgb="FF000000"/>
      <name val="Times New Roman"/>
      <family val="1"/>
    </font>
    <font>
      <b/>
      <sz val="16"/>
      <color theme="0"/>
      <name val="Arial"/>
      <family val="2"/>
    </font>
    <font>
      <sz val="13"/>
      <color theme="1"/>
      <name val="Eras Demi ITC"/>
      <family val="2"/>
    </font>
    <font>
      <sz val="12"/>
      <name val="Arial Black"/>
      <family val="2"/>
    </font>
    <font>
      <b/>
      <sz val="8"/>
      <color theme="0"/>
      <name val="Arial"/>
      <family val="2"/>
    </font>
    <font>
      <b/>
      <vertAlign val="superscript"/>
      <sz val="8"/>
      <color theme="0"/>
      <name val="Arial"/>
      <family val="2"/>
    </font>
    <font>
      <sz val="8"/>
      <name val="Arial"/>
      <family val="2"/>
    </font>
    <font>
      <vertAlign val="superscript"/>
      <sz val="8"/>
      <name val="Arial"/>
      <family val="2"/>
    </font>
    <font>
      <b/>
      <u/>
      <sz val="8"/>
      <name val="Arial"/>
      <family val="2"/>
    </font>
    <font>
      <sz val="8"/>
      <color theme="1"/>
      <name val="Arial"/>
      <family val="2"/>
    </font>
  </fonts>
  <fills count="24">
    <fill>
      <patternFill patternType="none"/>
    </fill>
    <fill>
      <patternFill patternType="gray125"/>
    </fill>
    <fill>
      <patternFill patternType="solid">
        <fgColor rgb="FFFFFFCC"/>
      </patternFill>
    </fill>
    <fill>
      <patternFill patternType="solid">
        <fgColor rgb="FFC0C0C0"/>
      </patternFill>
    </fill>
    <fill>
      <patternFill patternType="solid">
        <fgColor rgb="FFD7E3BB"/>
      </patternFill>
    </fill>
    <fill>
      <patternFill patternType="solid">
        <fgColor rgb="FFD9D9D9"/>
      </patternFill>
    </fill>
    <fill>
      <patternFill patternType="solid">
        <fgColor rgb="FFC4BC96"/>
      </patternFill>
    </fill>
    <fill>
      <patternFill patternType="solid">
        <fgColor rgb="FF92D050"/>
      </patternFill>
    </fill>
    <fill>
      <patternFill patternType="solid">
        <fgColor rgb="FF92D050"/>
        <bgColor indexed="64"/>
      </patternFill>
    </fill>
    <fill>
      <patternFill patternType="solid">
        <fgColor theme="2" tint="-0.249977111117893"/>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indexed="9"/>
        <bgColor indexed="64"/>
      </patternFill>
    </fill>
    <fill>
      <patternFill patternType="solid">
        <fgColor theme="0" tint="-4.9989318521683403E-2"/>
        <bgColor theme="0" tint="-4.9989318521683403E-2"/>
      </patternFill>
    </fill>
    <fill>
      <patternFill patternType="solid">
        <fgColor theme="4"/>
        <bgColor theme="4"/>
      </patternFill>
    </fill>
    <fill>
      <patternFill patternType="solid">
        <fgColor theme="4" tint="0.79998168889431442"/>
        <bgColor theme="4" tint="0.79998168889431442"/>
      </patternFill>
    </fill>
    <fill>
      <patternFill patternType="solid">
        <fgColor theme="5"/>
        <bgColor theme="5"/>
      </patternFill>
    </fill>
    <fill>
      <patternFill patternType="solid">
        <fgColor theme="5" tint="0.79998168889431442"/>
        <bgColor theme="5" tint="0.79998168889431442"/>
      </patternFill>
    </fill>
    <fill>
      <patternFill patternType="solid">
        <fgColor rgb="FF00B0F0"/>
        <bgColor indexed="64"/>
      </patternFill>
    </fill>
  </fills>
  <borders count="13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top style="thin">
        <color rgb="FF000000"/>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thin">
        <color rgb="FF000000"/>
      </bottom>
      <diagonal/>
    </border>
    <border>
      <left style="medium">
        <color indexed="64"/>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rgb="FF000000"/>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ck">
        <color indexed="64"/>
      </right>
      <top style="thin">
        <color rgb="FF000000"/>
      </top>
      <bottom style="thin">
        <color rgb="FF000000"/>
      </bottom>
      <diagonal/>
    </border>
    <border>
      <left style="medium">
        <color indexed="64"/>
      </left>
      <right/>
      <top/>
      <bottom style="thick">
        <color indexed="64"/>
      </bottom>
      <diagonal/>
    </border>
    <border>
      <left/>
      <right/>
      <top/>
      <bottom style="thick">
        <color indexed="64"/>
      </bottom>
      <diagonal/>
    </border>
    <border>
      <left style="thin">
        <color rgb="FF000000"/>
      </left>
      <right style="thick">
        <color indexed="64"/>
      </right>
      <top/>
      <bottom style="thin">
        <color rgb="FF000000"/>
      </bottom>
      <diagonal/>
    </border>
    <border>
      <left/>
      <right/>
      <top style="thin">
        <color rgb="FF000000"/>
      </top>
      <bottom style="thick">
        <color indexed="64"/>
      </bottom>
      <diagonal/>
    </border>
    <border>
      <left style="thin">
        <color rgb="FF000000"/>
      </left>
      <right style="thin">
        <color rgb="FF000000"/>
      </right>
      <top style="thin">
        <color rgb="FF000000"/>
      </top>
      <bottom style="thick">
        <color indexed="64"/>
      </bottom>
      <diagonal/>
    </border>
    <border>
      <left/>
      <right style="thin">
        <color rgb="FF000000"/>
      </right>
      <top style="thin">
        <color rgb="FF000000"/>
      </top>
      <bottom style="thick">
        <color indexed="64"/>
      </bottom>
      <diagonal/>
    </border>
    <border>
      <left style="thin">
        <color rgb="FF000000"/>
      </left>
      <right style="thick">
        <color indexed="64"/>
      </right>
      <top style="thin">
        <color rgb="FF000000"/>
      </top>
      <bottom style="thick">
        <color indexed="64"/>
      </bottom>
      <diagonal/>
    </border>
    <border>
      <left style="thin">
        <color rgb="FF000000"/>
      </left>
      <right/>
      <top style="thin">
        <color rgb="FF000000"/>
      </top>
      <bottom style="thick">
        <color indexed="64"/>
      </bottom>
      <diagonal/>
    </border>
    <border>
      <left/>
      <right style="thin">
        <color rgb="FF000000"/>
      </right>
      <top/>
      <bottom style="thick">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rgb="FF000000"/>
      </right>
      <top style="thin">
        <color rgb="FF000000"/>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top/>
      <bottom style="thin">
        <color indexed="64"/>
      </bottom>
      <diagonal/>
    </border>
    <border>
      <left style="thin">
        <color rgb="FF000000"/>
      </left>
      <right/>
      <top style="thick">
        <color indexed="64"/>
      </top>
      <bottom/>
      <diagonal/>
    </border>
    <border>
      <left/>
      <right/>
      <top style="thick">
        <color indexed="64"/>
      </top>
      <bottom/>
      <diagonal/>
    </border>
    <border>
      <left/>
      <right style="thin">
        <color rgb="FF000000"/>
      </right>
      <top style="thick">
        <color indexed="64"/>
      </top>
      <bottom/>
      <diagonal/>
    </border>
    <border>
      <left style="thin">
        <color rgb="FF000000"/>
      </left>
      <right style="thin">
        <color rgb="FF000000"/>
      </right>
      <top style="thick">
        <color indexed="64"/>
      </top>
      <bottom style="thin">
        <color rgb="FF000000"/>
      </bottom>
      <diagonal/>
    </border>
    <border>
      <left style="thin">
        <color rgb="FF000000"/>
      </left>
      <right/>
      <top style="thick">
        <color indexed="64"/>
      </top>
      <bottom style="thin">
        <color rgb="FF000000"/>
      </bottom>
      <diagonal/>
    </border>
    <border>
      <left/>
      <right/>
      <top style="thick">
        <color indexed="64"/>
      </top>
      <bottom style="thin">
        <color rgb="FF000000"/>
      </bottom>
      <diagonal/>
    </border>
    <border>
      <left/>
      <right style="thick">
        <color indexed="64"/>
      </right>
      <top style="thick">
        <color indexed="64"/>
      </top>
      <bottom style="thin">
        <color rgb="FF000000"/>
      </bottom>
      <diagonal/>
    </border>
    <border>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ck">
        <color indexed="64"/>
      </right>
      <top style="thin">
        <color rgb="FF000000"/>
      </top>
      <bottom style="thin">
        <color indexed="64"/>
      </bottom>
      <diagonal/>
    </border>
    <border>
      <left/>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top style="thick">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ck">
        <color indexed="64"/>
      </left>
      <right/>
      <top style="thin">
        <color rgb="FF000000"/>
      </top>
      <bottom style="thin">
        <color indexed="64"/>
      </bottom>
      <diagonal/>
    </border>
    <border>
      <left style="thick">
        <color indexed="64"/>
      </left>
      <right/>
      <top style="thin">
        <color rgb="FF000000"/>
      </top>
      <bottom style="thin">
        <color rgb="FF000000"/>
      </bottom>
      <diagonal/>
    </border>
    <border>
      <left style="thick">
        <color indexed="64"/>
      </left>
      <right/>
      <top style="thin">
        <color rgb="FF000000"/>
      </top>
      <bottom style="thick">
        <color indexed="64"/>
      </bottom>
      <diagonal/>
    </border>
    <border>
      <left style="thick">
        <color indexed="64"/>
      </left>
      <right/>
      <top style="thin">
        <color indexed="64"/>
      </top>
      <bottom style="thin">
        <color rgb="FF000000"/>
      </bottom>
      <diagonal/>
    </border>
    <border>
      <left style="medium">
        <color indexed="64"/>
      </left>
      <right/>
      <top style="thin">
        <color rgb="FF000000"/>
      </top>
      <bottom style="thin">
        <color indexed="64"/>
      </bottom>
      <diagonal/>
    </border>
    <border>
      <left style="thin">
        <color rgb="FF000000"/>
      </left>
      <right/>
      <top style="thin">
        <color rgb="FF000000"/>
      </top>
      <bottom style="medium">
        <color indexed="64"/>
      </bottom>
      <diagonal/>
    </border>
    <border>
      <left style="medium">
        <color indexed="64"/>
      </left>
      <right/>
      <top style="thin">
        <color indexed="64"/>
      </top>
      <bottom style="thin">
        <color rgb="FF00000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ck">
        <color indexed="64"/>
      </left>
      <right/>
      <top style="thick">
        <color indexed="64"/>
      </top>
      <bottom style="thin">
        <color rgb="FF000000"/>
      </bottom>
      <diagonal/>
    </border>
    <border>
      <left/>
      <right style="medium">
        <color indexed="64"/>
      </right>
      <top style="thick">
        <color indexed="64"/>
      </top>
      <bottom style="thin">
        <color rgb="FF000000"/>
      </bottom>
      <diagonal/>
    </border>
    <border>
      <left/>
      <right style="medium">
        <color indexed="64"/>
      </right>
      <top/>
      <bottom style="thick">
        <color indexed="64"/>
      </bottom>
      <diagonal/>
    </border>
    <border>
      <left/>
      <right style="thin">
        <color indexed="64"/>
      </right>
      <top style="medium">
        <color indexed="64"/>
      </top>
      <bottom/>
      <diagonal/>
    </border>
    <border>
      <left/>
      <right style="thin">
        <color indexed="64"/>
      </right>
      <top/>
      <bottom/>
      <diagonal/>
    </border>
    <border>
      <left style="thin">
        <color rgb="FF000000"/>
      </left>
      <right style="medium">
        <color indexed="64"/>
      </right>
      <top style="thin">
        <color rgb="FF000000"/>
      </top>
      <bottom style="thick">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thin">
        <color rgb="FF000000"/>
      </top>
      <bottom/>
      <diagonal/>
    </border>
    <border>
      <left/>
      <right style="medium">
        <color indexed="64"/>
      </right>
      <top style="thin">
        <color indexed="64"/>
      </top>
      <bottom style="thin">
        <color rgb="FF000000"/>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s>
  <cellStyleXfs count="14">
    <xf numFmtId="0" fontId="0" fillId="0" borderId="0"/>
    <xf numFmtId="9" fontId="1" fillId="0" borderId="0" applyFont="0" applyFill="0" applyBorder="0" applyAlignment="0" applyProtection="0"/>
    <xf numFmtId="9" fontId="13" fillId="0" borderId="0" applyFont="0" applyFill="0" applyBorder="0" applyAlignment="0" applyProtection="0"/>
    <xf numFmtId="0" fontId="13" fillId="0" borderId="0"/>
    <xf numFmtId="0" fontId="16" fillId="0" borderId="0"/>
    <xf numFmtId="164" fontId="16" fillId="0" borderId="0"/>
    <xf numFmtId="44" fontId="17" fillId="0" borderId="0" applyFont="0" applyFill="0" applyBorder="0" applyAlignment="0" applyProtection="0"/>
    <xf numFmtId="165" fontId="13" fillId="0" borderId="0" applyFont="0" applyFill="0" applyBorder="0" applyAlignment="0" applyProtection="0"/>
    <xf numFmtId="0" fontId="1" fillId="0" borderId="0"/>
    <xf numFmtId="9" fontId="1"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9" fontId="13" fillId="0" borderId="0"/>
  </cellStyleXfs>
  <cellXfs count="794">
    <xf numFmtId="0" fontId="0" fillId="0" borderId="0" xfId="0" applyFill="1" applyBorder="1" applyAlignment="1">
      <alignment horizontal="left" vertical="top"/>
    </xf>
    <xf numFmtId="0" fontId="5" fillId="0" borderId="12"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right" vertical="center"/>
    </xf>
    <xf numFmtId="0" fontId="2" fillId="3" borderId="12"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12" xfId="0" applyFont="1" applyFill="1" applyBorder="1" applyAlignment="1">
      <alignment horizontal="center" vertical="center" wrapText="1"/>
    </xf>
    <xf numFmtId="0" fontId="3" fillId="0" borderId="0" xfId="0" applyFont="1" applyFill="1" applyBorder="1" applyAlignment="1">
      <alignment horizontal="center" vertical="center"/>
    </xf>
    <xf numFmtId="0" fontId="0" fillId="0" borderId="0" xfId="0" applyFill="1" applyBorder="1" applyAlignment="1">
      <alignment horizontal="left" wrapText="1"/>
    </xf>
    <xf numFmtId="0" fontId="9" fillId="0" borderId="0" xfId="0" applyFont="1" applyFill="1" applyBorder="1" applyAlignment="1">
      <alignment horizontal="right" vertical="top" wrapText="1"/>
    </xf>
    <xf numFmtId="0" fontId="9" fillId="0" borderId="12" xfId="0" applyFont="1" applyFill="1" applyBorder="1" applyAlignment="1">
      <alignment horizontal="left" vertical="top" wrapText="1" indent="2"/>
    </xf>
    <xf numFmtId="0" fontId="9" fillId="0" borderId="12" xfId="0" applyFont="1" applyFill="1" applyBorder="1" applyAlignment="1">
      <alignment horizontal="right" vertical="top" wrapText="1" indent="2"/>
    </xf>
    <xf numFmtId="0" fontId="9" fillId="0" borderId="12" xfId="0" applyFont="1" applyFill="1" applyBorder="1" applyAlignment="1">
      <alignment horizontal="center" vertical="top" wrapText="1"/>
    </xf>
    <xf numFmtId="0" fontId="0" fillId="0" borderId="12" xfId="0" applyFill="1" applyBorder="1" applyAlignment="1">
      <alignment horizontal="left" wrapText="1"/>
    </xf>
    <xf numFmtId="2" fontId="5" fillId="0" borderId="12" xfId="0" applyNumberFormat="1" applyFont="1" applyFill="1" applyBorder="1" applyAlignment="1">
      <alignment horizontal="center" vertical="center" shrinkToFit="1"/>
    </xf>
    <xf numFmtId="1" fontId="5" fillId="0" borderId="12" xfId="0" applyNumberFormat="1" applyFont="1" applyFill="1" applyBorder="1" applyAlignment="1">
      <alignment horizontal="center" vertical="center" shrinkToFit="1"/>
    </xf>
    <xf numFmtId="2" fontId="2" fillId="7" borderId="12" xfId="0" applyNumberFormat="1" applyFont="1" applyFill="1" applyBorder="1" applyAlignment="1">
      <alignment horizontal="center" vertical="center" shrinkToFit="1"/>
    </xf>
    <xf numFmtId="4" fontId="5" fillId="0" borderId="12" xfId="0" applyNumberFormat="1" applyFont="1" applyFill="1" applyBorder="1" applyAlignment="1">
      <alignment horizontal="center" vertical="center" shrinkToFit="1"/>
    </xf>
    <xf numFmtId="4" fontId="2" fillId="7" borderId="12" xfId="0" applyNumberFormat="1" applyFont="1" applyFill="1" applyBorder="1" applyAlignment="1">
      <alignment horizontal="center" vertical="center" shrinkToFit="1"/>
    </xf>
    <xf numFmtId="4" fontId="0" fillId="0" borderId="0" xfId="0" applyNumberFormat="1" applyFill="1" applyBorder="1" applyAlignment="1">
      <alignment horizontal="left" vertical="top"/>
    </xf>
    <xf numFmtId="0" fontId="0" fillId="0" borderId="19" xfId="0" applyFill="1" applyBorder="1" applyAlignment="1">
      <alignment horizontal="left" wrapText="1"/>
    </xf>
    <xf numFmtId="0" fontId="0" fillId="0" borderId="20" xfId="0" applyFill="1" applyBorder="1" applyAlignment="1">
      <alignment horizontal="left" wrapText="1"/>
    </xf>
    <xf numFmtId="1" fontId="8" fillId="0" borderId="45" xfId="0" applyNumberFormat="1" applyFont="1" applyFill="1" applyBorder="1" applyAlignment="1">
      <alignment horizontal="right" vertical="top" shrinkToFit="1"/>
    </xf>
    <xf numFmtId="0" fontId="9" fillId="0" borderId="46" xfId="0" applyFont="1" applyFill="1" applyBorder="1" applyAlignment="1">
      <alignment horizontal="center" vertical="top" wrapText="1"/>
    </xf>
    <xf numFmtId="0" fontId="0" fillId="0" borderId="45" xfId="0" applyFill="1" applyBorder="1" applyAlignment="1">
      <alignment horizontal="left" wrapText="1"/>
    </xf>
    <xf numFmtId="0" fontId="0" fillId="0" borderId="46" xfId="0" applyFill="1" applyBorder="1" applyAlignment="1">
      <alignment horizontal="left" wrapText="1"/>
    </xf>
    <xf numFmtId="0" fontId="2" fillId="0" borderId="45" xfId="0" applyFont="1" applyFill="1" applyBorder="1" applyAlignment="1">
      <alignment horizontal="left" vertical="center" wrapText="1"/>
    </xf>
    <xf numFmtId="0" fontId="2" fillId="6" borderId="45" xfId="0" applyFont="1" applyFill="1" applyBorder="1" applyAlignment="1">
      <alignment horizontal="left" vertical="center" wrapText="1"/>
    </xf>
    <xf numFmtId="0" fontId="2" fillId="0" borderId="46" xfId="0" applyFont="1" applyFill="1" applyBorder="1" applyAlignment="1">
      <alignment horizontal="center" vertical="center" wrapText="1"/>
    </xf>
    <xf numFmtId="0" fontId="5" fillId="0" borderId="46" xfId="0" applyFont="1" applyFill="1" applyBorder="1" applyAlignment="1">
      <alignment horizontal="left" vertical="center" wrapText="1"/>
    </xf>
    <xf numFmtId="1" fontId="7" fillId="0" borderId="45" xfId="0" applyNumberFormat="1" applyFont="1" applyFill="1" applyBorder="1" applyAlignment="1">
      <alignment horizontal="center" vertical="center" shrinkToFit="1"/>
    </xf>
    <xf numFmtId="0" fontId="5" fillId="0" borderId="45" xfId="0" applyFont="1" applyFill="1" applyBorder="1" applyAlignment="1">
      <alignment horizontal="center" vertical="center" wrapText="1"/>
    </xf>
    <xf numFmtId="0" fontId="6" fillId="4" borderId="45" xfId="0" applyFont="1" applyFill="1" applyBorder="1" applyAlignment="1">
      <alignment horizontal="left" vertical="center" wrapText="1"/>
    </xf>
    <xf numFmtId="1" fontId="2" fillId="0" borderId="45" xfId="0" applyNumberFormat="1" applyFont="1" applyFill="1" applyBorder="1" applyAlignment="1">
      <alignment horizontal="center" vertical="center" shrinkToFit="1"/>
    </xf>
    <xf numFmtId="0" fontId="3" fillId="0" borderId="19"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34" xfId="0" applyFont="1" applyFill="1" applyBorder="1" applyAlignment="1">
      <alignment horizontal="right" vertical="center" wrapText="1"/>
    </xf>
    <xf numFmtId="0" fontId="3" fillId="0" borderId="35" xfId="0" applyFont="1" applyFill="1" applyBorder="1" applyAlignment="1">
      <alignment horizontal="right" vertical="center" wrapText="1"/>
    </xf>
    <xf numFmtId="44" fontId="8" fillId="0" borderId="12" xfId="6" applyFont="1" applyFill="1" applyBorder="1" applyAlignment="1">
      <alignment horizontal="right" vertical="top" shrinkToFit="1"/>
    </xf>
    <xf numFmtId="44" fontId="7" fillId="0" borderId="12" xfId="6" applyFont="1" applyFill="1" applyBorder="1" applyAlignment="1">
      <alignment horizontal="right" vertical="top" shrinkToFit="1"/>
    </xf>
    <xf numFmtId="0" fontId="3" fillId="1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12" xfId="0" applyFont="1" applyFill="1" applyBorder="1" applyAlignment="1">
      <alignment horizontal="left" vertical="center" wrapText="1"/>
    </xf>
    <xf numFmtId="0" fontId="5" fillId="10" borderId="0" xfId="0" applyFont="1" applyFill="1" applyBorder="1" applyAlignment="1">
      <alignment horizontal="left" vertical="center"/>
    </xf>
    <xf numFmtId="0" fontId="15" fillId="11" borderId="0" xfId="0" applyFont="1" applyFill="1" applyBorder="1" applyAlignment="1">
      <alignment horizontal="left" vertical="center"/>
    </xf>
    <xf numFmtId="0" fontId="5" fillId="0" borderId="34" xfId="0" applyFont="1" applyFill="1" applyBorder="1" applyAlignment="1">
      <alignment horizontal="left" vertical="center" wrapText="1"/>
    </xf>
    <xf numFmtId="0" fontId="2" fillId="0" borderId="20" xfId="0" applyFont="1" applyFill="1" applyBorder="1" applyAlignment="1">
      <alignment horizontal="center" vertical="center" wrapText="1"/>
    </xf>
    <xf numFmtId="0" fontId="5" fillId="0" borderId="0" xfId="0" applyFont="1" applyFill="1" applyBorder="1" applyAlignment="1">
      <alignment vertical="center"/>
    </xf>
    <xf numFmtId="0" fontId="18" fillId="0" borderId="0" xfId="0" applyFont="1" applyBorder="1" applyAlignment="1">
      <alignment horizontal="center" vertical="center"/>
    </xf>
    <xf numFmtId="0" fontId="9" fillId="0" borderId="19" xfId="0" applyFont="1" applyFill="1" applyBorder="1" applyAlignment="1">
      <alignment horizontal="right" vertical="top" wrapText="1"/>
    </xf>
    <xf numFmtId="0" fontId="0" fillId="0" borderId="19" xfId="0" applyFill="1" applyBorder="1" applyAlignment="1">
      <alignment horizontal="left" vertical="top"/>
    </xf>
    <xf numFmtId="0" fontId="0" fillId="0" borderId="20" xfId="0" applyFill="1" applyBorder="1" applyAlignment="1">
      <alignment horizontal="left" vertical="top"/>
    </xf>
    <xf numFmtId="0" fontId="0" fillId="0" borderId="34" xfId="0" applyFill="1" applyBorder="1" applyAlignment="1">
      <alignment horizontal="left" vertical="top"/>
    </xf>
    <xf numFmtId="0" fontId="0" fillId="0" borderId="35" xfId="0" applyFill="1" applyBorder="1" applyAlignment="1">
      <alignment horizontal="left" vertical="top"/>
    </xf>
    <xf numFmtId="4" fontId="3" fillId="0" borderId="0" xfId="0" applyNumberFormat="1" applyFont="1" applyFill="1" applyBorder="1" applyAlignment="1">
      <alignment horizontal="left" vertical="center"/>
    </xf>
    <xf numFmtId="0" fontId="3" fillId="11" borderId="0" xfId="0" applyFont="1" applyFill="1" applyBorder="1" applyAlignment="1">
      <alignment horizontal="left" vertical="center"/>
    </xf>
    <xf numFmtId="0" fontId="5" fillId="0" borderId="19" xfId="0" applyFont="1" applyFill="1" applyBorder="1" applyAlignment="1">
      <alignment horizontal="left" vertical="center"/>
    </xf>
    <xf numFmtId="0" fontId="5" fillId="0" borderId="20" xfId="0" applyFont="1" applyFill="1" applyBorder="1" applyAlignment="1">
      <alignment horizontal="left" vertical="center"/>
    </xf>
    <xf numFmtId="0" fontId="5" fillId="0" borderId="19" xfId="0" applyFont="1" applyFill="1" applyBorder="1" applyAlignment="1">
      <alignment vertical="center"/>
    </xf>
    <xf numFmtId="0" fontId="5" fillId="0" borderId="20" xfId="0" applyFont="1" applyFill="1" applyBorder="1" applyAlignment="1">
      <alignment vertical="center"/>
    </xf>
    <xf numFmtId="0" fontId="5" fillId="0" borderId="33" xfId="0" applyFont="1" applyFill="1" applyBorder="1" applyAlignment="1">
      <alignment horizontal="left" vertical="center"/>
    </xf>
    <xf numFmtId="0" fontId="5" fillId="0" borderId="34" xfId="0" applyFont="1" applyFill="1" applyBorder="1" applyAlignment="1">
      <alignment horizontal="left" vertical="center"/>
    </xf>
    <xf numFmtId="0" fontId="5" fillId="0" borderId="35" xfId="0" applyFont="1" applyFill="1" applyBorder="1" applyAlignment="1">
      <alignment horizontal="left" vertical="center"/>
    </xf>
    <xf numFmtId="2" fontId="5" fillId="0" borderId="12" xfId="0" applyNumberFormat="1" applyFont="1" applyFill="1" applyBorder="1" applyAlignment="1">
      <alignment horizontal="right" vertical="center" shrinkToFit="1"/>
    </xf>
    <xf numFmtId="2" fontId="8" fillId="0" borderId="12" xfId="0" applyNumberFormat="1" applyFont="1" applyFill="1" applyBorder="1" applyAlignment="1">
      <alignment horizontal="right" vertical="center" shrinkToFit="1"/>
    </xf>
    <xf numFmtId="0" fontId="14" fillId="6" borderId="12" xfId="0" applyFont="1" applyFill="1" applyBorder="1" applyAlignment="1">
      <alignment horizontal="center" vertical="center" wrapText="1"/>
    </xf>
    <xf numFmtId="1" fontId="14" fillId="9" borderId="12" xfId="0" applyNumberFormat="1" applyFont="1" applyFill="1" applyBorder="1" applyAlignment="1">
      <alignment horizontal="center" vertical="center" shrinkToFit="1"/>
    </xf>
    <xf numFmtId="0" fontId="14" fillId="9" borderId="12"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34" xfId="0" applyFont="1" applyFill="1" applyBorder="1" applyAlignment="1">
      <alignment horizontal="left" vertical="center"/>
    </xf>
    <xf numFmtId="17" fontId="5" fillId="0" borderId="0" xfId="0" applyNumberFormat="1" applyFont="1" applyFill="1" applyBorder="1" applyAlignment="1">
      <alignment horizontal="center" vertical="top" wrapText="1"/>
    </xf>
    <xf numFmtId="0" fontId="2" fillId="0" borderId="0" xfId="0" applyFont="1" applyFill="1" applyBorder="1" applyAlignment="1">
      <alignment horizontal="right" vertical="center" wrapText="1"/>
    </xf>
    <xf numFmtId="0" fontId="3" fillId="4" borderId="82" xfId="0" applyFont="1" applyFill="1" applyBorder="1" applyAlignment="1">
      <alignment horizontal="left" vertical="center" wrapText="1"/>
    </xf>
    <xf numFmtId="0" fontId="20" fillId="0" borderId="17" xfId="0" applyFont="1" applyFill="1" applyBorder="1" applyAlignment="1">
      <alignment horizontal="center" vertical="center" wrapText="1"/>
    </xf>
    <xf numFmtId="0" fontId="20" fillId="0" borderId="0" xfId="0" applyFont="1" applyFill="1" applyBorder="1" applyAlignment="1">
      <alignment vertical="top" wrapText="1"/>
    </xf>
    <xf numFmtId="0" fontId="20" fillId="0" borderId="20" xfId="0" applyFont="1" applyFill="1" applyBorder="1" applyAlignment="1">
      <alignment vertical="top" wrapText="1"/>
    </xf>
    <xf numFmtId="10" fontId="21" fillId="0" borderId="0" xfId="1" applyNumberFormat="1" applyFont="1" applyFill="1" applyBorder="1" applyAlignment="1">
      <alignment horizontal="left" wrapText="1"/>
    </xf>
    <xf numFmtId="10" fontId="21" fillId="0" borderId="0" xfId="1" applyNumberFormat="1" applyFont="1" applyFill="1" applyBorder="1" applyAlignment="1">
      <alignment horizontal="right" vertical="top" shrinkToFit="1"/>
    </xf>
    <xf numFmtId="0" fontId="20" fillId="0" borderId="38" xfId="0" applyFont="1" applyFill="1" applyBorder="1" applyAlignment="1">
      <alignment horizontal="left" vertical="top" wrapText="1"/>
    </xf>
    <xf numFmtId="0" fontId="20" fillId="0" borderId="21" xfId="0" applyFont="1" applyFill="1" applyBorder="1" applyAlignment="1">
      <alignment vertical="top" wrapText="1"/>
    </xf>
    <xf numFmtId="0" fontId="20" fillId="0" borderId="0" xfId="0" applyFont="1" applyFill="1" applyBorder="1" applyAlignment="1">
      <alignment horizontal="center" vertical="center" wrapText="1"/>
    </xf>
    <xf numFmtId="0" fontId="20" fillId="0" borderId="19" xfId="0" applyFont="1" applyFill="1" applyBorder="1" applyAlignment="1">
      <alignment vertical="top" wrapText="1"/>
    </xf>
    <xf numFmtId="10" fontId="21" fillId="0" borderId="0" xfId="1" applyNumberFormat="1" applyFont="1" applyBorder="1" applyAlignment="1">
      <alignment horizontal="center" vertical="top" shrinkToFit="1"/>
    </xf>
    <xf numFmtId="10" fontId="21" fillId="0" borderId="0" xfId="9" applyNumberFormat="1" applyFont="1" applyBorder="1" applyAlignment="1">
      <alignment horizontal="center" vertical="top" shrinkToFit="1"/>
    </xf>
    <xf numFmtId="44" fontId="21" fillId="0" borderId="0" xfId="6" applyFont="1" applyBorder="1" applyAlignment="1">
      <alignment horizontal="center" vertical="top" shrinkToFit="1"/>
    </xf>
    <xf numFmtId="10" fontId="21" fillId="0" borderId="8" xfId="1" applyNumberFormat="1" applyFont="1" applyFill="1" applyBorder="1" applyAlignment="1">
      <alignment horizontal="right" vertical="top" shrinkToFit="1"/>
    </xf>
    <xf numFmtId="9" fontId="21" fillId="0" borderId="72" xfId="0" applyNumberFormat="1" applyFont="1" applyFill="1" applyBorder="1" applyAlignment="1">
      <alignment horizontal="right" vertical="top" shrinkToFit="1"/>
    </xf>
    <xf numFmtId="10" fontId="21" fillId="0" borderId="12" xfId="1" applyNumberFormat="1" applyFont="1" applyFill="1" applyBorder="1" applyAlignment="1">
      <alignment horizontal="right" vertical="top" shrinkToFit="1"/>
    </xf>
    <xf numFmtId="9" fontId="21" fillId="0" borderId="69" xfId="0" applyNumberFormat="1" applyFont="1" applyFill="1" applyBorder="1" applyAlignment="1">
      <alignment horizontal="right" vertical="top" shrinkToFit="1"/>
    </xf>
    <xf numFmtId="9" fontId="21" fillId="0" borderId="12" xfId="1" applyFont="1" applyBorder="1" applyAlignment="1">
      <alignment horizontal="center" vertical="top" shrinkToFit="1"/>
    </xf>
    <xf numFmtId="10" fontId="21" fillId="0" borderId="69" xfId="1" applyNumberFormat="1" applyFont="1" applyBorder="1" applyAlignment="1">
      <alignment horizontal="center" vertical="top" shrinkToFit="1"/>
    </xf>
    <xf numFmtId="10" fontId="21" fillId="0" borderId="46" xfId="1" applyNumberFormat="1" applyFont="1" applyBorder="1" applyAlignment="1">
      <alignment horizontal="center" vertical="top" shrinkToFit="1"/>
    </xf>
    <xf numFmtId="9" fontId="21" fillId="0" borderId="74" xfId="1" applyFont="1" applyBorder="1" applyAlignment="1">
      <alignment horizontal="center" vertical="top" shrinkToFit="1"/>
    </xf>
    <xf numFmtId="10" fontId="21" fillId="0" borderId="76" xfId="1" applyNumberFormat="1" applyFont="1" applyBorder="1" applyAlignment="1">
      <alignment horizontal="center" vertical="top" shrinkToFit="1"/>
    </xf>
    <xf numFmtId="10" fontId="21" fillId="0" borderId="68" xfId="1" applyNumberFormat="1" applyFont="1" applyBorder="1" applyAlignment="1">
      <alignment horizontal="center" vertical="top" shrinkToFit="1"/>
    </xf>
    <xf numFmtId="2" fontId="21" fillId="0" borderId="0" xfId="0" applyNumberFormat="1" applyFont="1" applyFill="1" applyBorder="1" applyAlignment="1">
      <alignment horizontal="right" vertical="top" shrinkToFit="1"/>
    </xf>
    <xf numFmtId="44" fontId="21" fillId="0" borderId="0" xfId="6" applyFont="1" applyFill="1" applyBorder="1" applyAlignment="1">
      <alignment horizontal="right" vertical="top" shrinkToFit="1"/>
    </xf>
    <xf numFmtId="44" fontId="21" fillId="0" borderId="0" xfId="6" applyFont="1" applyFill="1" applyBorder="1" applyAlignment="1">
      <alignment horizontal="left" vertical="top" indent="1" shrinkToFit="1"/>
    </xf>
    <xf numFmtId="10" fontId="21" fillId="0" borderId="0" xfId="0" applyNumberFormat="1" applyFont="1" applyFill="1" applyBorder="1" applyAlignment="1">
      <alignment horizontal="right" vertical="top" shrinkToFit="1"/>
    </xf>
    <xf numFmtId="4" fontId="21" fillId="0" borderId="0" xfId="0" applyNumberFormat="1" applyFont="1" applyFill="1" applyBorder="1" applyAlignment="1">
      <alignment horizontal="left" vertical="top" indent="1" shrinkToFit="1"/>
    </xf>
    <xf numFmtId="4" fontId="21" fillId="0" borderId="19" xfId="0" applyNumberFormat="1" applyFont="1" applyFill="1" applyBorder="1" applyAlignment="1">
      <alignment horizontal="right" vertical="top" shrinkToFit="1"/>
    </xf>
    <xf numFmtId="0" fontId="20" fillId="0" borderId="19" xfId="0" applyFont="1" applyFill="1" applyBorder="1" applyAlignment="1">
      <alignment horizontal="left" vertical="top" wrapText="1"/>
    </xf>
    <xf numFmtId="0" fontId="20" fillId="0" borderId="0" xfId="0" applyFont="1" applyFill="1" applyBorder="1" applyAlignment="1">
      <alignment horizontal="left" vertical="top" wrapText="1"/>
    </xf>
    <xf numFmtId="44" fontId="20" fillId="0" borderId="0" xfId="0" applyNumberFormat="1" applyFont="1" applyFill="1" applyBorder="1" applyAlignment="1">
      <alignment horizontal="right" vertical="top" wrapText="1" indent="1"/>
    </xf>
    <xf numFmtId="0" fontId="20" fillId="0" borderId="66" xfId="0" applyFont="1" applyFill="1" applyBorder="1" applyAlignment="1">
      <alignment horizontal="left" vertical="top" wrapText="1"/>
    </xf>
    <xf numFmtId="44" fontId="21" fillId="0" borderId="8" xfId="6" applyFont="1" applyFill="1" applyBorder="1" applyAlignment="1">
      <alignment horizontal="left" vertical="top" shrinkToFit="1"/>
    </xf>
    <xf numFmtId="44" fontId="21" fillId="0" borderId="12" xfId="6" applyFont="1" applyFill="1" applyBorder="1" applyAlignment="1">
      <alignment horizontal="left" vertical="top" shrinkToFit="1"/>
    </xf>
    <xf numFmtId="44" fontId="21" fillId="0" borderId="12" xfId="6" applyFont="1" applyBorder="1" applyAlignment="1">
      <alignment horizontal="left" vertical="top" shrinkToFit="1"/>
    </xf>
    <xf numFmtId="44" fontId="21" fillId="0" borderId="74" xfId="6" applyFont="1" applyBorder="1" applyAlignment="1">
      <alignment horizontal="left" vertical="top" shrinkToFit="1"/>
    </xf>
    <xf numFmtId="10" fontId="20" fillId="0" borderId="72" xfId="1" applyNumberFormat="1" applyFont="1" applyFill="1" applyBorder="1" applyAlignment="1">
      <alignment horizontal="center" vertical="top" wrapText="1"/>
    </xf>
    <xf numFmtId="10" fontId="20" fillId="0" borderId="69" xfId="1" applyNumberFormat="1" applyFont="1" applyFill="1" applyBorder="1" applyAlignment="1">
      <alignment horizontal="center" vertical="top" wrapText="1"/>
    </xf>
    <xf numFmtId="10" fontId="21" fillId="0" borderId="69" xfId="1" applyNumberFormat="1" applyFont="1" applyFill="1" applyBorder="1" applyAlignment="1">
      <alignment horizontal="center" vertical="top" shrinkToFit="1"/>
    </xf>
    <xf numFmtId="0" fontId="20" fillId="0" borderId="30" xfId="0" applyFont="1" applyFill="1" applyBorder="1" applyAlignment="1">
      <alignment vertical="top" wrapText="1"/>
    </xf>
    <xf numFmtId="0" fontId="21" fillId="0" borderId="20" xfId="0" applyFont="1" applyFill="1" applyBorder="1" applyAlignment="1">
      <alignment horizontal="left" vertical="top"/>
    </xf>
    <xf numFmtId="0" fontId="21" fillId="0" borderId="23" xfId="0" applyFont="1" applyFill="1" applyBorder="1" applyAlignment="1">
      <alignment horizontal="left" vertical="top"/>
    </xf>
    <xf numFmtId="0" fontId="21" fillId="0" borderId="32" xfId="0" applyFont="1" applyFill="1" applyBorder="1" applyAlignment="1">
      <alignment horizontal="left" vertical="top"/>
    </xf>
    <xf numFmtId="0" fontId="21" fillId="0" borderId="32" xfId="0" applyFont="1" applyFill="1" applyBorder="1" applyAlignment="1">
      <alignment vertical="top"/>
    </xf>
    <xf numFmtId="0" fontId="21" fillId="0" borderId="65" xfId="0" applyFont="1" applyFill="1" applyBorder="1" applyAlignment="1">
      <alignment horizontal="left" vertical="top"/>
    </xf>
    <xf numFmtId="0" fontId="21" fillId="0" borderId="30" xfId="0" applyFont="1" applyFill="1" applyBorder="1" applyAlignment="1">
      <alignment horizontal="left" vertical="top"/>
    </xf>
    <xf numFmtId="0" fontId="21" fillId="0" borderId="64" xfId="0" applyFont="1" applyFill="1" applyBorder="1" applyAlignment="1">
      <alignment vertical="top"/>
    </xf>
    <xf numFmtId="0" fontId="21" fillId="0" borderId="31" xfId="0" applyFont="1" applyFill="1" applyBorder="1" applyAlignment="1">
      <alignment vertical="top"/>
    </xf>
    <xf numFmtId="0" fontId="21" fillId="0" borderId="65" xfId="0" applyFont="1" applyFill="1" applyBorder="1" applyAlignment="1">
      <alignment vertical="top"/>
    </xf>
    <xf numFmtId="0" fontId="21" fillId="0" borderId="30" xfId="0" applyFont="1" applyFill="1" applyBorder="1" applyAlignment="1">
      <alignment vertical="top"/>
    </xf>
    <xf numFmtId="0" fontId="21" fillId="0" borderId="19" xfId="0" applyFont="1" applyFill="1" applyBorder="1" applyAlignment="1">
      <alignment horizontal="left" vertical="top"/>
    </xf>
    <xf numFmtId="0" fontId="21" fillId="0" borderId="0" xfId="0" applyFont="1" applyFill="1" applyBorder="1" applyAlignment="1">
      <alignment horizontal="left" vertical="center" wrapText="1"/>
    </xf>
    <xf numFmtId="0" fontId="21" fillId="0" borderId="0" xfId="0" applyFont="1" applyFill="1" applyBorder="1" applyAlignment="1">
      <alignment horizontal="left" wrapText="1"/>
    </xf>
    <xf numFmtId="0" fontId="21" fillId="0" borderId="19" xfId="0" applyFont="1" applyFill="1" applyBorder="1" applyAlignment="1">
      <alignment horizontal="left" vertical="center" wrapText="1"/>
    </xf>
    <xf numFmtId="0" fontId="21" fillId="0" borderId="33" xfId="0" applyFont="1" applyFill="1" applyBorder="1" applyAlignment="1">
      <alignment horizontal="left" wrapText="1"/>
    </xf>
    <xf numFmtId="0" fontId="21" fillId="0" borderId="34" xfId="0" applyFont="1" applyFill="1" applyBorder="1" applyAlignment="1">
      <alignment horizontal="left" wrapText="1"/>
    </xf>
    <xf numFmtId="0" fontId="21" fillId="0" borderId="34" xfId="0" applyFont="1" applyFill="1" applyBorder="1" applyAlignment="1">
      <alignment horizontal="left" vertical="top"/>
    </xf>
    <xf numFmtId="0" fontId="21" fillId="0" borderId="35" xfId="0" applyFont="1" applyFill="1" applyBorder="1" applyAlignment="1">
      <alignment horizontal="left" vertical="top"/>
    </xf>
    <xf numFmtId="0" fontId="5" fillId="0" borderId="0" xfId="0" applyFont="1" applyFill="1" applyBorder="1" applyAlignment="1">
      <alignment vertical="center" wrapText="1"/>
    </xf>
    <xf numFmtId="0" fontId="22" fillId="0" borderId="29" xfId="0" applyFont="1" applyFill="1" applyBorder="1" applyAlignment="1">
      <alignment vertical="center"/>
    </xf>
    <xf numFmtId="0" fontId="22" fillId="0" borderId="30" xfId="0" applyFont="1" applyFill="1" applyBorder="1" applyAlignment="1">
      <alignment vertical="center"/>
    </xf>
    <xf numFmtId="0" fontId="21" fillId="0" borderId="0" xfId="0" applyFont="1" applyFill="1" applyBorder="1" applyAlignment="1">
      <alignment vertical="top"/>
    </xf>
    <xf numFmtId="0" fontId="21" fillId="0" borderId="0" xfId="0" applyFont="1" applyFill="1" applyBorder="1" applyAlignment="1">
      <alignment vertical="center" wrapText="1"/>
    </xf>
    <xf numFmtId="9" fontId="20" fillId="0" borderId="26" xfId="1" applyFont="1" applyFill="1" applyBorder="1" applyAlignment="1">
      <alignment horizontal="center" vertical="top" wrapText="1"/>
    </xf>
    <xf numFmtId="9" fontId="20" fillId="0" borderId="44" xfId="1" applyFont="1" applyFill="1" applyBorder="1" applyAlignment="1">
      <alignment horizontal="center" vertical="top" wrapText="1"/>
    </xf>
    <xf numFmtId="9" fontId="20" fillId="0" borderId="46" xfId="1" applyFont="1" applyFill="1" applyBorder="1" applyAlignment="1">
      <alignment horizontal="center" vertical="top" wrapText="1"/>
    </xf>
    <xf numFmtId="9" fontId="21" fillId="0" borderId="46" xfId="1" applyFont="1" applyFill="1" applyBorder="1" applyAlignment="1">
      <alignment horizontal="center" vertical="top" shrinkToFit="1"/>
    </xf>
    <xf numFmtId="0" fontId="22" fillId="0" borderId="36" xfId="0" applyFont="1" applyFill="1" applyBorder="1" applyAlignment="1">
      <alignment vertical="center"/>
    </xf>
    <xf numFmtId="0" fontId="21" fillId="0" borderId="0" xfId="0" applyFont="1" applyFill="1" applyBorder="1" applyAlignment="1">
      <alignment horizontal="left" vertical="top"/>
    </xf>
    <xf numFmtId="10" fontId="21" fillId="0" borderId="0" xfId="6" applyNumberFormat="1" applyFont="1" applyBorder="1" applyAlignment="1">
      <alignment horizontal="left" vertical="top" shrinkToFit="1"/>
    </xf>
    <xf numFmtId="0" fontId="21" fillId="0" borderId="20" xfId="0" applyFont="1" applyFill="1" applyBorder="1" applyAlignment="1">
      <alignment vertical="top"/>
    </xf>
    <xf numFmtId="0" fontId="20" fillId="0" borderId="37" xfId="0" applyFont="1" applyFill="1" applyBorder="1" applyAlignment="1">
      <alignment vertical="top" wrapText="1"/>
    </xf>
    <xf numFmtId="0" fontId="21" fillId="0" borderId="20" xfId="0" applyFont="1" applyFill="1" applyBorder="1" applyAlignment="1">
      <alignment vertical="center" wrapText="1"/>
    </xf>
    <xf numFmtId="0" fontId="5" fillId="0" borderId="12" xfId="0" applyFont="1" applyFill="1" applyBorder="1" applyAlignment="1">
      <alignment horizontal="left" vertical="top" wrapText="1" indent="1"/>
    </xf>
    <xf numFmtId="0" fontId="21" fillId="0" borderId="0" xfId="0" applyFont="1" applyBorder="1" applyAlignment="1">
      <alignment horizontal="center" wrapText="1"/>
    </xf>
    <xf numFmtId="10" fontId="21" fillId="0" borderId="0" xfId="0" applyNumberFormat="1" applyFont="1" applyFill="1" applyBorder="1" applyAlignment="1">
      <alignment horizontal="left" vertical="top"/>
    </xf>
    <xf numFmtId="0" fontId="21" fillId="0" borderId="0" xfId="0" applyFont="1" applyAlignment="1">
      <alignment horizontal="left" vertical="top"/>
    </xf>
    <xf numFmtId="0" fontId="21" fillId="0" borderId="0" xfId="0" applyFont="1" applyBorder="1" applyAlignment="1">
      <alignment horizontal="left" vertical="top"/>
    </xf>
    <xf numFmtId="10" fontId="21" fillId="0" borderId="0" xfId="6" applyNumberFormat="1" applyFont="1" applyBorder="1" applyAlignment="1">
      <alignment vertical="top" shrinkToFit="1"/>
    </xf>
    <xf numFmtId="10" fontId="21" fillId="0" borderId="0" xfId="0" applyNumberFormat="1" applyFont="1" applyBorder="1" applyAlignment="1">
      <alignment horizontal="left" vertical="top"/>
    </xf>
    <xf numFmtId="0" fontId="21" fillId="0" borderId="18" xfId="0" applyFont="1" applyFill="1" applyBorder="1" applyAlignment="1">
      <alignment horizontal="left" vertical="top"/>
    </xf>
    <xf numFmtId="0" fontId="21" fillId="0" borderId="25" xfId="0" applyFont="1" applyFill="1" applyBorder="1" applyAlignment="1">
      <alignment horizontal="left" vertical="top"/>
    </xf>
    <xf numFmtId="0" fontId="21" fillId="0" borderId="31" xfId="0" applyFont="1" applyFill="1" applyBorder="1" applyAlignment="1">
      <alignment horizontal="left" vertical="top"/>
    </xf>
    <xf numFmtId="9" fontId="21" fillId="0" borderId="76" xfId="0" applyNumberFormat="1" applyFont="1" applyBorder="1" applyAlignment="1">
      <alignment horizontal="right" vertical="top" shrinkToFit="1"/>
    </xf>
    <xf numFmtId="10" fontId="21" fillId="0" borderId="72" xfId="0" applyNumberFormat="1" applyFont="1" applyFill="1" applyBorder="1" applyAlignment="1">
      <alignment horizontal="center" vertical="top" shrinkToFit="1"/>
    </xf>
    <xf numFmtId="10" fontId="21" fillId="0" borderId="69" xfId="0" applyNumberFormat="1" applyFont="1" applyFill="1" applyBorder="1" applyAlignment="1">
      <alignment horizontal="center" vertical="top" shrinkToFit="1"/>
    </xf>
    <xf numFmtId="10" fontId="21" fillId="0" borderId="13" xfId="1" applyNumberFormat="1" applyFont="1" applyBorder="1" applyAlignment="1">
      <alignment horizontal="center" vertical="center" shrinkToFit="1"/>
    </xf>
    <xf numFmtId="9" fontId="21" fillId="0" borderId="65" xfId="1" applyFont="1" applyFill="1" applyBorder="1" applyAlignment="1">
      <alignment horizontal="center" vertical="center" wrapText="1"/>
    </xf>
    <xf numFmtId="9" fontId="21" fillId="0" borderId="9" xfId="1" applyFont="1" applyFill="1" applyBorder="1" applyAlignment="1">
      <alignment horizontal="center" vertical="center" shrinkToFit="1"/>
    </xf>
    <xf numFmtId="9" fontId="21" fillId="0" borderId="13" xfId="1" applyFont="1" applyFill="1" applyBorder="1" applyAlignment="1">
      <alignment horizontal="center" vertical="center" shrinkToFit="1"/>
    </xf>
    <xf numFmtId="10" fontId="21" fillId="0" borderId="109" xfId="1" applyNumberFormat="1" applyFont="1" applyBorder="1" applyAlignment="1">
      <alignment horizontal="center" vertical="center" shrinkToFit="1"/>
    </xf>
    <xf numFmtId="10" fontId="21" fillId="0" borderId="44" xfId="1" applyNumberFormat="1" applyFont="1" applyFill="1" applyBorder="1" applyAlignment="1">
      <alignment horizontal="center" vertical="top" wrapText="1"/>
    </xf>
    <xf numFmtId="10" fontId="21" fillId="0" borderId="46" xfId="1" applyNumberFormat="1" applyFont="1" applyFill="1" applyBorder="1" applyAlignment="1">
      <alignment horizontal="center" vertical="top" shrinkToFit="1"/>
    </xf>
    <xf numFmtId="10" fontId="21" fillId="0" borderId="118" xfId="1" applyNumberFormat="1" applyFont="1" applyBorder="1" applyAlignment="1">
      <alignment horizontal="center" vertical="top" shrinkToFit="1"/>
    </xf>
    <xf numFmtId="10" fontId="21" fillId="0" borderId="20" xfId="1" applyNumberFormat="1" applyFont="1" applyFill="1" applyBorder="1" applyAlignment="1">
      <alignment horizontal="right" vertical="top" shrinkToFit="1"/>
    </xf>
    <xf numFmtId="4" fontId="2" fillId="7" borderId="15" xfId="0" applyNumberFormat="1" applyFont="1" applyFill="1" applyBorder="1" applyAlignment="1">
      <alignment horizontal="center" vertical="center" shrinkToFit="1"/>
    </xf>
    <xf numFmtId="4" fontId="5" fillId="0" borderId="15" xfId="0" applyNumberFormat="1" applyFont="1" applyFill="1" applyBorder="1" applyAlignment="1">
      <alignment horizontal="center" vertical="center" shrinkToFit="1"/>
    </xf>
    <xf numFmtId="0" fontId="5" fillId="0" borderId="21" xfId="0" applyFont="1" applyFill="1" applyBorder="1" applyAlignment="1">
      <alignment horizontal="left" vertical="center"/>
    </xf>
    <xf numFmtId="0" fontId="2" fillId="0" borderId="1" xfId="0" applyFont="1" applyFill="1" applyBorder="1" applyAlignment="1">
      <alignment horizontal="center" vertical="center" wrapText="1"/>
    </xf>
    <xf numFmtId="2" fontId="5" fillId="0" borderId="0" xfId="0" applyNumberFormat="1" applyFont="1" applyFill="1" applyBorder="1" applyAlignment="1">
      <alignment horizontal="left" vertical="center"/>
    </xf>
    <xf numFmtId="0" fontId="21" fillId="0" borderId="0" xfId="0" applyFont="1" applyFill="1" applyBorder="1" applyAlignment="1">
      <alignment horizontal="left" vertical="top"/>
    </xf>
    <xf numFmtId="0" fontId="5" fillId="0" borderId="21" xfId="0" applyFont="1" applyFill="1" applyBorder="1" applyAlignment="1">
      <alignment horizontal="center" vertical="center" wrapText="1"/>
    </xf>
    <xf numFmtId="1" fontId="14" fillId="6" borderId="12" xfId="0" applyNumberFormat="1" applyFont="1" applyFill="1" applyBorder="1" applyAlignment="1">
      <alignment horizontal="center" vertical="center" wrapText="1"/>
    </xf>
    <xf numFmtId="4" fontId="5" fillId="0" borderId="21" xfId="0" applyNumberFormat="1" applyFont="1" applyFill="1" applyBorder="1" applyAlignment="1">
      <alignment horizontal="center" vertical="center" shrinkToFit="1"/>
    </xf>
    <xf numFmtId="2" fontId="5" fillId="0" borderId="12" xfId="0" applyNumberFormat="1" applyFont="1" applyFill="1" applyBorder="1" applyAlignment="1">
      <alignment horizontal="center" vertical="center" wrapText="1"/>
    </xf>
    <xf numFmtId="2" fontId="3" fillId="0" borderId="0" xfId="0" applyNumberFormat="1" applyFont="1" applyFill="1" applyBorder="1" applyAlignment="1">
      <alignment horizontal="left" vertical="center"/>
    </xf>
    <xf numFmtId="0" fontId="2" fillId="0" borderId="2" xfId="0" applyFont="1" applyFill="1" applyBorder="1" applyAlignment="1">
      <alignment horizontal="center" vertical="center" wrapText="1"/>
    </xf>
    <xf numFmtId="2" fontId="5" fillId="0" borderId="28" xfId="0" applyNumberFormat="1" applyFont="1" applyFill="1" applyBorder="1" applyAlignment="1">
      <alignment horizontal="center" vertical="center" shrinkToFit="1"/>
    </xf>
    <xf numFmtId="4" fontId="5" fillId="0" borderId="14" xfId="0" applyNumberFormat="1" applyFont="1" applyFill="1" applyBorder="1" applyAlignment="1">
      <alignment horizontal="center" vertical="center" wrapText="1" shrinkToFit="1"/>
    </xf>
    <xf numFmtId="4" fontId="5" fillId="0" borderId="21" xfId="0" applyNumberFormat="1" applyFont="1" applyFill="1" applyBorder="1" applyAlignment="1">
      <alignment horizontal="center" vertical="center" wrapText="1" shrinkToFit="1"/>
    </xf>
    <xf numFmtId="4" fontId="2" fillId="7" borderId="21" xfId="0" applyNumberFormat="1" applyFont="1" applyFill="1" applyBorder="1" applyAlignment="1">
      <alignment horizontal="center"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3" fillId="0" borderId="0" xfId="0" applyFont="1" applyFill="1" applyBorder="1" applyAlignment="1">
      <alignment horizontal="right" vertical="center" wrapText="1"/>
    </xf>
    <xf numFmtId="0" fontId="3" fillId="0" borderId="20" xfId="0" applyFont="1" applyFill="1" applyBorder="1" applyAlignment="1">
      <alignment horizontal="right" vertical="center" wrapText="1"/>
    </xf>
    <xf numFmtId="0" fontId="2" fillId="0" borderId="1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0" fillId="12" borderId="89" xfId="0" applyFont="1" applyFill="1" applyBorder="1" applyAlignment="1">
      <alignment horizontal="center" vertical="center" wrapText="1"/>
    </xf>
    <xf numFmtId="0" fontId="20" fillId="12" borderId="94" xfId="0" applyFont="1" applyFill="1" applyBorder="1" applyAlignment="1">
      <alignment horizontal="center" vertical="top" wrapText="1"/>
    </xf>
    <xf numFmtId="0" fontId="20" fillId="12" borderId="97" xfId="0" applyFont="1" applyFill="1" applyBorder="1" applyAlignment="1">
      <alignment horizontal="center" vertical="top" wrapText="1"/>
    </xf>
    <xf numFmtId="0" fontId="20" fillId="12" borderId="97" xfId="0" applyFont="1" applyFill="1" applyBorder="1" applyAlignment="1">
      <alignment horizontal="left" vertical="top" wrapText="1" indent="1"/>
    </xf>
    <xf numFmtId="0" fontId="20" fillId="12" borderId="99" xfId="0" applyFont="1" applyFill="1" applyBorder="1" applyAlignment="1">
      <alignment horizontal="left" vertical="top" wrapText="1" indent="1"/>
    </xf>
    <xf numFmtId="0" fontId="20" fillId="12" borderId="95" xfId="0" applyFont="1" applyFill="1" applyBorder="1" applyAlignment="1">
      <alignment horizontal="left" vertical="top" wrapText="1" indent="1"/>
    </xf>
    <xf numFmtId="0" fontId="5" fillId="0"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3" fillId="16" borderId="28" xfId="3" applyFont="1" applyFill="1" applyBorder="1" applyAlignment="1">
      <alignment horizontal="left" vertical="center"/>
    </xf>
    <xf numFmtId="17" fontId="13" fillId="17" borderId="25" xfId="3" applyNumberFormat="1" applyFont="1" applyFill="1" applyBorder="1" applyAlignment="1">
      <alignment horizontal="right" vertical="center"/>
    </xf>
    <xf numFmtId="0" fontId="13" fillId="0" borderId="64" xfId="3" applyFont="1" applyFill="1" applyBorder="1" applyAlignment="1">
      <alignment horizontal="left" vertical="center"/>
    </xf>
    <xf numFmtId="0" fontId="13" fillId="0" borderId="20" xfId="3" applyFont="1" applyFill="1" applyBorder="1" applyAlignment="1">
      <alignment horizontal="center" vertical="center"/>
    </xf>
    <xf numFmtId="2" fontId="13" fillId="0" borderId="66" xfId="3" applyNumberFormat="1" applyFont="1" applyFill="1" applyBorder="1" applyAlignment="1">
      <alignment horizontal="center" vertical="center"/>
    </xf>
    <xf numFmtId="0" fontId="1" fillId="0" borderId="21" xfId="0" applyFont="1" applyFill="1" applyBorder="1" applyAlignment="1">
      <alignment horizontal="center" vertical="center"/>
    </xf>
    <xf numFmtId="166" fontId="13" fillId="16" borderId="27" xfId="11" applyFont="1" applyFill="1" applyBorder="1" applyAlignment="1">
      <alignment horizontal="center" vertical="center"/>
    </xf>
    <xf numFmtId="168" fontId="13" fillId="0" borderId="21" xfId="3" applyNumberFormat="1" applyFont="1" applyFill="1" applyBorder="1" applyAlignment="1">
      <alignment horizontal="right" vertical="center"/>
    </xf>
    <xf numFmtId="4" fontId="13" fillId="17" borderId="26" xfId="3" applyNumberFormat="1" applyFont="1" applyFill="1" applyBorder="1" applyAlignment="1">
      <alignment vertical="center"/>
    </xf>
    <xf numFmtId="4" fontId="13" fillId="17" borderId="27" xfId="3" applyNumberFormat="1" applyFont="1" applyFill="1" applyBorder="1" applyAlignment="1">
      <alignment vertical="center"/>
    </xf>
    <xf numFmtId="0" fontId="0" fillId="0" borderId="19" xfId="0" applyBorder="1"/>
    <xf numFmtId="0" fontId="0" fillId="0" borderId="0" xfId="0" applyBorder="1"/>
    <xf numFmtId="0" fontId="0" fillId="0" borderId="20" xfId="0" applyBorder="1"/>
    <xf numFmtId="0" fontId="5" fillId="0" borderId="17"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2" fillId="0" borderId="0" xfId="0" applyFont="1" applyFill="1" applyBorder="1" applyAlignment="1">
      <alignment horizontal="center" vertical="center" wrapText="1"/>
    </xf>
    <xf numFmtId="2" fontId="5" fillId="0" borderId="1"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xf>
    <xf numFmtId="1" fontId="14" fillId="9" borderId="12" xfId="0" applyNumberFormat="1" applyFont="1" applyFill="1" applyBorder="1" applyAlignment="1">
      <alignment horizontal="center" vertical="center" wrapText="1"/>
    </xf>
    <xf numFmtId="0" fontId="2" fillId="0" borderId="4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1" xfId="0" applyFont="1" applyFill="1" applyBorder="1" applyAlignment="1">
      <alignment vertical="center" wrapText="1"/>
    </xf>
    <xf numFmtId="2" fontId="5" fillId="0" borderId="15" xfId="0" applyNumberFormat="1" applyFont="1" applyFill="1" applyBorder="1" applyAlignment="1">
      <alignment horizontal="center" vertical="center" wrapText="1"/>
    </xf>
    <xf numFmtId="0" fontId="2" fillId="0" borderId="0" xfId="0" applyFont="1" applyFill="1" applyBorder="1" applyAlignment="1">
      <alignment horizontal="left" vertical="center"/>
    </xf>
    <xf numFmtId="4" fontId="5" fillId="0" borderId="1" xfId="0" applyNumberFormat="1" applyFont="1" applyFill="1" applyBorder="1" applyAlignment="1">
      <alignment horizontal="center" vertical="center" shrinkToFit="1"/>
    </xf>
    <xf numFmtId="0" fontId="5" fillId="0" borderId="41" xfId="0" applyFont="1" applyFill="1" applyBorder="1" applyAlignment="1">
      <alignment horizontal="center" vertical="center" wrapText="1"/>
    </xf>
    <xf numFmtId="1" fontId="5" fillId="0" borderId="1" xfId="0" applyNumberFormat="1" applyFont="1" applyFill="1" applyBorder="1" applyAlignment="1">
      <alignment horizontal="center" vertical="center" shrinkToFit="1"/>
    </xf>
    <xf numFmtId="2" fontId="5" fillId="0" borderId="1" xfId="0" applyNumberFormat="1" applyFont="1" applyFill="1" applyBorder="1" applyAlignment="1">
      <alignment horizontal="right" vertical="center" shrinkToFit="1"/>
    </xf>
    <xf numFmtId="1" fontId="5" fillId="0" borderId="21" xfId="0" applyNumberFormat="1" applyFont="1" applyFill="1" applyBorder="1" applyAlignment="1">
      <alignment horizontal="center" vertical="center" shrinkToFit="1"/>
    </xf>
    <xf numFmtId="2" fontId="5" fillId="0" borderId="21" xfId="0" applyNumberFormat="1" applyFont="1" applyFill="1" applyBorder="1" applyAlignment="1">
      <alignment horizontal="right" vertical="center" shrinkToFit="1"/>
    </xf>
    <xf numFmtId="2" fontId="5" fillId="0" borderId="28" xfId="0" applyNumberFormat="1" applyFont="1" applyFill="1" applyBorder="1" applyAlignment="1">
      <alignment horizontal="center" vertical="center" shrinkToFit="1"/>
    </xf>
    <xf numFmtId="0" fontId="2" fillId="0" borderId="14"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1" xfId="0" applyFont="1" applyFill="1" applyBorder="1" applyAlignment="1">
      <alignment horizontal="left" vertical="center" wrapText="1"/>
    </xf>
    <xf numFmtId="0" fontId="2"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6" fillId="4" borderId="54" xfId="0" applyFont="1" applyFill="1" applyBorder="1" applyAlignment="1">
      <alignment horizontal="left" vertical="center" wrapText="1"/>
    </xf>
    <xf numFmtId="0" fontId="5" fillId="0" borderId="120" xfId="0" applyFont="1" applyFill="1" applyBorder="1" applyAlignment="1">
      <alignment horizontal="center" vertical="center" wrapText="1"/>
    </xf>
    <xf numFmtId="4" fontId="5" fillId="0" borderId="4" xfId="0" applyNumberFormat="1" applyFont="1" applyFill="1" applyBorder="1" applyAlignment="1">
      <alignment horizontal="center" vertical="center" shrinkToFit="1"/>
    </xf>
    <xf numFmtId="0" fontId="5" fillId="0" borderId="40" xfId="0" applyFont="1" applyFill="1" applyBorder="1" applyAlignment="1">
      <alignment horizontal="left" vertical="center" wrapText="1"/>
    </xf>
    <xf numFmtId="0" fontId="5" fillId="0" borderId="46" xfId="0"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5" fillId="0" borderId="42" xfId="0" applyFont="1" applyFill="1" applyBorder="1" applyAlignment="1">
      <alignment horizontal="left" vertical="center" wrapText="1"/>
    </xf>
    <xf numFmtId="0" fontId="2" fillId="6" borderId="43" xfId="0" applyFont="1" applyFill="1" applyBorder="1" applyAlignment="1">
      <alignment horizontal="left" vertical="center" wrapText="1"/>
    </xf>
    <xf numFmtId="0" fontId="14" fillId="6" borderId="8" xfId="0" applyFont="1" applyFill="1" applyBorder="1" applyAlignment="1">
      <alignment horizontal="center" vertical="center" wrapText="1"/>
    </xf>
    <xf numFmtId="0" fontId="6" fillId="4" borderId="39" xfId="0" applyFont="1" applyFill="1" applyBorder="1" applyAlignment="1">
      <alignment horizontal="left" vertical="center" wrapText="1"/>
    </xf>
    <xf numFmtId="0" fontId="5" fillId="0" borderId="2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18" fillId="0" borderId="0" xfId="0" applyFont="1" applyBorder="1" applyAlignment="1">
      <alignment horizontal="center"/>
    </xf>
    <xf numFmtId="0" fontId="5"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1" fillId="0" borderId="20" xfId="0" applyFont="1" applyFill="1" applyBorder="1" applyAlignment="1">
      <alignment wrapText="1"/>
    </xf>
    <xf numFmtId="0" fontId="5" fillId="0" borderId="21" xfId="0" applyFont="1" applyFill="1" applyBorder="1" applyAlignment="1">
      <alignment horizontal="center" vertical="center" wrapText="1"/>
    </xf>
    <xf numFmtId="0" fontId="5" fillId="0" borderId="21" xfId="0" applyFont="1" applyFill="1" applyBorder="1" applyAlignment="1">
      <alignment horizontal="left" vertical="center" wrapText="1"/>
    </xf>
    <xf numFmtId="0" fontId="5" fillId="0" borderId="42" xfId="0" applyFont="1" applyFill="1" applyBorder="1" applyAlignment="1">
      <alignment horizontal="center" vertical="center" wrapText="1"/>
    </xf>
    <xf numFmtId="2" fontId="5" fillId="0" borderId="2" xfId="0" applyNumberFormat="1" applyFont="1" applyFill="1" applyBorder="1" applyAlignment="1">
      <alignment horizontal="center" vertical="center" shrinkToFit="1"/>
    </xf>
    <xf numFmtId="2" fontId="5" fillId="0" borderId="13" xfId="0" applyNumberFormat="1" applyFont="1" applyFill="1" applyBorder="1" applyAlignment="1">
      <alignment horizontal="center" vertical="center" shrinkToFit="1"/>
    </xf>
    <xf numFmtId="0" fontId="5" fillId="0" borderId="21" xfId="0" applyFont="1" applyFill="1" applyBorder="1" applyAlignment="1">
      <alignment horizontal="left" vertical="center" wrapText="1"/>
    </xf>
    <xf numFmtId="0" fontId="5" fillId="0" borderId="21"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13" fillId="0" borderId="21" xfId="3" applyNumberFormat="1" applyFont="1" applyFill="1" applyBorder="1" applyAlignment="1">
      <alignment horizontal="center" vertical="center"/>
    </xf>
    <xf numFmtId="0" fontId="13" fillId="0" borderId="21" xfId="3" applyNumberFormat="1" applyFont="1" applyFill="1" applyBorder="1" applyAlignment="1">
      <alignment vertical="center"/>
    </xf>
    <xf numFmtId="0" fontId="12" fillId="0" borderId="21" xfId="3" applyFont="1" applyFill="1" applyBorder="1" applyAlignment="1">
      <alignment horizontal="center" vertical="center"/>
    </xf>
    <xf numFmtId="169" fontId="12" fillId="0" borderId="21" xfId="3" applyNumberFormat="1" applyFont="1" applyFill="1" applyBorder="1" applyAlignment="1">
      <alignment horizontal="right" vertical="center"/>
    </xf>
    <xf numFmtId="0" fontId="31" fillId="0" borderId="0" xfId="0" applyFont="1" applyFill="1" applyBorder="1" applyAlignment="1">
      <alignment horizontal="left" vertical="top"/>
    </xf>
    <xf numFmtId="0" fontId="12" fillId="14" borderId="56" xfId="3" applyFont="1" applyFill="1" applyBorder="1" applyAlignment="1">
      <alignment vertical="center"/>
    </xf>
    <xf numFmtId="0" fontId="12" fillId="14" borderId="36" xfId="3" applyFont="1" applyFill="1" applyBorder="1" applyAlignment="1">
      <alignment vertical="center"/>
    </xf>
    <xf numFmtId="0" fontId="13" fillId="16" borderId="28" xfId="3" applyFont="1" applyFill="1" applyBorder="1" applyAlignment="1">
      <alignment vertical="center"/>
    </xf>
    <xf numFmtId="0" fontId="13" fillId="16" borderId="36" xfId="3" applyFont="1" applyFill="1" applyBorder="1" applyAlignment="1">
      <alignment vertical="center"/>
    </xf>
    <xf numFmtId="2" fontId="13" fillId="17" borderId="56" xfId="3" applyNumberFormat="1" applyFont="1" applyFill="1" applyBorder="1" applyAlignment="1">
      <alignment vertical="center"/>
    </xf>
    <xf numFmtId="2" fontId="13" fillId="17" borderId="36" xfId="3" applyNumberFormat="1" applyFont="1" applyFill="1" applyBorder="1" applyAlignment="1">
      <alignment vertical="center"/>
    </xf>
    <xf numFmtId="0" fontId="13" fillId="0" borderId="21" xfId="3" applyNumberFormat="1" applyFont="1" applyFill="1" applyBorder="1" applyAlignment="1">
      <alignment horizontal="right" vertical="center"/>
    </xf>
    <xf numFmtId="170" fontId="12" fillId="8" borderId="27" xfId="3" applyNumberFormat="1" applyFont="1" applyFill="1" applyBorder="1" applyAlignment="1">
      <alignment horizontal="center" vertical="center"/>
    </xf>
    <xf numFmtId="4" fontId="2" fillId="7" borderId="28" xfId="0" applyNumberFormat="1" applyFont="1" applyFill="1" applyBorder="1" applyAlignment="1">
      <alignment horizontal="center" vertical="center" shrinkToFit="1"/>
    </xf>
    <xf numFmtId="0" fontId="2" fillId="0" borderId="1" xfId="0" applyFont="1" applyFill="1" applyBorder="1" applyAlignment="1">
      <alignment horizontal="left" vertical="center" wrapText="1"/>
    </xf>
    <xf numFmtId="0" fontId="5" fillId="0" borderId="12" xfId="0" applyNumberFormat="1" applyFont="1" applyFill="1" applyBorder="1" applyAlignment="1">
      <alignment horizontal="center" vertical="center" wrapText="1"/>
    </xf>
    <xf numFmtId="0" fontId="12" fillId="14" borderId="127" xfId="0" applyFont="1" applyFill="1" applyBorder="1" applyAlignment="1">
      <alignment horizontal="center" vertical="center" wrapText="1"/>
    </xf>
    <xf numFmtId="0" fontId="0" fillId="0" borderId="128" xfId="0" applyFill="1" applyBorder="1" applyAlignment="1">
      <alignment horizontal="left" vertical="top"/>
    </xf>
    <xf numFmtId="0" fontId="13" fillId="0" borderId="66" xfId="0" applyFont="1" applyBorder="1" applyAlignment="1">
      <alignment vertical="center" wrapText="1"/>
    </xf>
    <xf numFmtId="44" fontId="13" fillId="0" borderId="24" xfId="6" applyFont="1" applyFill="1" applyBorder="1" applyAlignment="1">
      <alignment horizontal="center" vertical="center"/>
    </xf>
    <xf numFmtId="0" fontId="0" fillId="0" borderId="0" xfId="0" applyBorder="1" applyAlignment="1"/>
    <xf numFmtId="165" fontId="13" fillId="0" borderId="27" xfId="7" applyBorder="1" applyAlignment="1">
      <alignment horizontal="center" vertical="center"/>
    </xf>
    <xf numFmtId="0" fontId="0" fillId="0" borderId="34" xfId="0" applyBorder="1" applyAlignment="1"/>
    <xf numFmtId="4" fontId="5" fillId="0" borderId="2" xfId="0" applyNumberFormat="1" applyFont="1" applyFill="1" applyBorder="1" applyAlignment="1">
      <alignment horizontal="right" vertical="center" shrinkToFit="1"/>
    </xf>
    <xf numFmtId="4" fontId="5" fillId="0" borderId="3" xfId="0" applyNumberFormat="1" applyFont="1" applyFill="1" applyBorder="1" applyAlignment="1">
      <alignment horizontal="right" vertical="center" shrinkToFit="1"/>
    </xf>
    <xf numFmtId="4" fontId="5" fillId="0" borderId="48" xfId="0" applyNumberFormat="1" applyFont="1" applyFill="1" applyBorder="1" applyAlignment="1">
      <alignment horizontal="right" vertical="center" shrinkToFi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167" fontId="5" fillId="0" borderId="2" xfId="0" applyNumberFormat="1" applyFont="1" applyFill="1" applyBorder="1" applyAlignment="1">
      <alignment horizontal="center" vertical="center" shrinkToFit="1"/>
    </xf>
    <xf numFmtId="167" fontId="5" fillId="0" borderId="3" xfId="0" applyNumberFormat="1" applyFont="1" applyFill="1" applyBorder="1" applyAlignment="1">
      <alignment horizontal="center" vertical="center" shrinkToFit="1"/>
    </xf>
    <xf numFmtId="167" fontId="5" fillId="0" borderId="4" xfId="0" applyNumberFormat="1" applyFont="1" applyFill="1" applyBorder="1" applyAlignment="1">
      <alignment horizontal="center" vertical="center" shrinkToFit="1"/>
    </xf>
    <xf numFmtId="4" fontId="5" fillId="0" borderId="4" xfId="0" applyNumberFormat="1" applyFont="1" applyFill="1" applyBorder="1" applyAlignment="1">
      <alignment horizontal="right" vertical="center" shrinkToFit="1"/>
    </xf>
    <xf numFmtId="4" fontId="2" fillId="4" borderId="13" xfId="0" applyNumberFormat="1" applyFont="1" applyFill="1" applyBorder="1" applyAlignment="1">
      <alignment horizontal="right" vertical="center" shrinkToFit="1"/>
    </xf>
    <xf numFmtId="4" fontId="2" fillId="4" borderId="14" xfId="0" applyNumberFormat="1" applyFont="1" applyFill="1" applyBorder="1" applyAlignment="1">
      <alignment horizontal="right" vertical="center" shrinkToFit="1"/>
    </xf>
    <xf numFmtId="4" fontId="2" fillId="4" borderId="53" xfId="0" applyNumberFormat="1" applyFont="1" applyFill="1" applyBorder="1" applyAlignment="1">
      <alignment horizontal="right" vertical="center" shrinkToFit="1"/>
    </xf>
    <xf numFmtId="0" fontId="6" fillId="0" borderId="13"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53"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22" xfId="0" applyFont="1" applyFill="1" applyBorder="1" applyAlignment="1">
      <alignment horizontal="left" vertical="center" wrapText="1"/>
    </xf>
    <xf numFmtId="2" fontId="5" fillId="0" borderId="28" xfId="0" applyNumberFormat="1" applyFont="1" applyFill="1" applyBorder="1" applyAlignment="1">
      <alignment horizontal="center" vertical="center" shrinkToFit="1"/>
    </xf>
    <xf numFmtId="2" fontId="5" fillId="0" borderId="36" xfId="0" applyNumberFormat="1" applyFont="1" applyFill="1" applyBorder="1" applyAlignment="1">
      <alignment horizontal="center" vertical="center" shrinkToFit="1"/>
    </xf>
    <xf numFmtId="2" fontId="5" fillId="0" borderId="22" xfId="0" applyNumberFormat="1" applyFont="1" applyFill="1" applyBorder="1" applyAlignment="1">
      <alignment horizontal="center" vertical="center" shrinkToFi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4" borderId="21" xfId="0" applyFont="1" applyFill="1" applyBorder="1" applyAlignment="1">
      <alignment horizontal="righ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167" fontId="5" fillId="0" borderId="13" xfId="0" applyNumberFormat="1" applyFont="1" applyFill="1" applyBorder="1" applyAlignment="1">
      <alignment horizontal="center" vertical="center" shrinkToFit="1"/>
    </xf>
    <xf numFmtId="167" fontId="5" fillId="0" borderId="14" xfId="0" applyNumberFormat="1" applyFont="1" applyFill="1" applyBorder="1" applyAlignment="1">
      <alignment horizontal="center" vertical="center" shrinkToFit="1"/>
    </xf>
    <xf numFmtId="167" fontId="5" fillId="0" borderId="15" xfId="0" applyNumberFormat="1" applyFont="1" applyFill="1" applyBorder="1" applyAlignment="1">
      <alignment horizontal="center" vertical="center" shrinkToFit="1"/>
    </xf>
    <xf numFmtId="4" fontId="5" fillId="0" borderId="13" xfId="0" applyNumberFormat="1" applyFont="1" applyFill="1" applyBorder="1" applyAlignment="1">
      <alignment horizontal="right" vertical="center" shrinkToFit="1"/>
    </xf>
    <xf numFmtId="4" fontId="5" fillId="0" borderId="15" xfId="0" applyNumberFormat="1" applyFont="1" applyFill="1" applyBorder="1" applyAlignment="1">
      <alignment horizontal="right" vertical="center" shrinkToFit="1"/>
    </xf>
    <xf numFmtId="4" fontId="5" fillId="0" borderId="14" xfId="0" applyNumberFormat="1" applyFont="1" applyFill="1" applyBorder="1" applyAlignment="1">
      <alignment horizontal="right" vertical="center" shrinkToFit="1"/>
    </xf>
    <xf numFmtId="4" fontId="5" fillId="0" borderId="53" xfId="0" applyNumberFormat="1" applyFont="1" applyFill="1" applyBorder="1" applyAlignment="1">
      <alignment horizontal="right" vertical="center" shrinkToFit="1"/>
    </xf>
    <xf numFmtId="0" fontId="2" fillId="0" borderId="40" xfId="0" applyFont="1" applyFill="1" applyBorder="1" applyAlignment="1">
      <alignment horizontal="left" vertical="center" wrapText="1"/>
    </xf>
    <xf numFmtId="2" fontId="5" fillId="0" borderId="2" xfId="0" applyNumberFormat="1" applyFont="1" applyFill="1" applyBorder="1" applyAlignment="1">
      <alignment horizontal="center" vertical="center" shrinkToFit="1"/>
    </xf>
    <xf numFmtId="2" fontId="5" fillId="0" borderId="3"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center" shrinkToFit="1"/>
    </xf>
    <xf numFmtId="0" fontId="2" fillId="4" borderId="13" xfId="0" applyFont="1" applyFill="1" applyBorder="1" applyAlignment="1">
      <alignment horizontal="right" vertical="center" wrapText="1"/>
    </xf>
    <xf numFmtId="0" fontId="2" fillId="4" borderId="14" xfId="0" applyFont="1" applyFill="1" applyBorder="1" applyAlignment="1">
      <alignment horizontal="right" vertical="center" wrapText="1"/>
    </xf>
    <xf numFmtId="0" fontId="2" fillId="4" borderId="15" xfId="0" applyFont="1" applyFill="1" applyBorder="1" applyAlignment="1">
      <alignment horizontal="right" vertical="center" wrapText="1"/>
    </xf>
    <xf numFmtId="4" fontId="2" fillId="4" borderId="21" xfId="0" applyNumberFormat="1" applyFont="1" applyFill="1" applyBorder="1" applyAlignment="1">
      <alignment horizontal="right" vertical="center" shrinkToFit="1"/>
    </xf>
    <xf numFmtId="0" fontId="6" fillId="0" borderId="9" xfId="0" applyFont="1" applyFill="1" applyBorder="1" applyAlignment="1">
      <alignment horizontal="left" vertical="center" wrapText="1"/>
    </xf>
    <xf numFmtId="0" fontId="6" fillId="0" borderId="11" xfId="0" applyFont="1" applyFill="1" applyBorder="1" applyAlignment="1">
      <alignment horizontal="left" vertical="center" wrapText="1"/>
    </xf>
    <xf numFmtId="4" fontId="2" fillId="4" borderId="102" xfId="0" applyNumberFormat="1" applyFont="1" applyFill="1" applyBorder="1" applyAlignment="1">
      <alignment horizontal="right" vertical="center" shrinkToFit="1"/>
    </xf>
    <xf numFmtId="4" fontId="2" fillId="4" borderId="123" xfId="0" applyNumberFormat="1" applyFont="1" applyFill="1" applyBorder="1" applyAlignment="1">
      <alignment horizontal="right" vertical="center" shrinkToFit="1"/>
    </xf>
    <xf numFmtId="2" fontId="5" fillId="0" borderId="13" xfId="0" applyNumberFormat="1" applyFont="1" applyFill="1" applyBorder="1" applyAlignment="1">
      <alignment horizontal="center" vertical="center" shrinkToFit="1"/>
    </xf>
    <xf numFmtId="2" fontId="5" fillId="0" borderId="14" xfId="0" applyNumberFormat="1" applyFont="1" applyFill="1" applyBorder="1" applyAlignment="1">
      <alignment horizontal="center" vertical="center" shrinkToFit="1"/>
    </xf>
    <xf numFmtId="2" fontId="5" fillId="0" borderId="15" xfId="0" applyNumberFormat="1" applyFont="1" applyFill="1" applyBorder="1" applyAlignment="1">
      <alignment horizontal="center" vertical="center" shrinkToFit="1"/>
    </xf>
    <xf numFmtId="0" fontId="5" fillId="0" borderId="13" xfId="0" applyNumberFormat="1" applyFont="1" applyFill="1" applyBorder="1" applyAlignment="1">
      <alignment horizontal="left" vertical="center" wrapText="1"/>
    </xf>
    <xf numFmtId="0" fontId="5" fillId="0" borderId="14" xfId="0" applyNumberFormat="1" applyFont="1" applyFill="1" applyBorder="1" applyAlignment="1">
      <alignment horizontal="left" vertical="center" wrapText="1"/>
    </xf>
    <xf numFmtId="0" fontId="5" fillId="0" borderId="15" xfId="0" applyNumberFormat="1"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53" xfId="0" applyFont="1" applyFill="1" applyBorder="1" applyAlignment="1">
      <alignment horizontal="center" vertical="center" wrapText="1"/>
    </xf>
    <xf numFmtId="0" fontId="25" fillId="15" borderId="54" xfId="0" applyFont="1" applyFill="1" applyBorder="1" applyAlignment="1">
      <alignment horizontal="center" vertical="center" wrapText="1"/>
    </xf>
    <xf numFmtId="0" fontId="25" fillId="15" borderId="14" xfId="0" applyFont="1" applyFill="1" applyBorder="1" applyAlignment="1">
      <alignment horizontal="center" vertical="center" wrapText="1"/>
    </xf>
    <xf numFmtId="0" fontId="25" fillId="15" borderId="53" xfId="0" applyFont="1" applyFill="1" applyBorder="1" applyAlignment="1">
      <alignment horizontal="center" vertical="center" wrapText="1"/>
    </xf>
    <xf numFmtId="4" fontId="8" fillId="0" borderId="13" xfId="0" applyNumberFormat="1" applyFont="1" applyFill="1" applyBorder="1" applyAlignment="1">
      <alignment horizontal="right" vertical="center" shrinkToFit="1"/>
    </xf>
    <xf numFmtId="4" fontId="8" fillId="0" borderId="14" xfId="0" applyNumberFormat="1" applyFont="1" applyFill="1" applyBorder="1" applyAlignment="1">
      <alignment horizontal="right" vertical="center" shrinkToFit="1"/>
    </xf>
    <xf numFmtId="4" fontId="8" fillId="0" borderId="53" xfId="0" applyNumberFormat="1" applyFont="1" applyFill="1" applyBorder="1" applyAlignment="1">
      <alignment horizontal="right" vertical="center" shrinkToFit="1"/>
    </xf>
    <xf numFmtId="0" fontId="5" fillId="0" borderId="54" xfId="0" applyFont="1" applyFill="1" applyBorder="1" applyAlignment="1">
      <alignment horizontal="left" vertical="center" wrapText="1"/>
    </xf>
    <xf numFmtId="0" fontId="24" fillId="15" borderId="16" xfId="0" applyFont="1" applyFill="1" applyBorder="1" applyAlignment="1">
      <alignment horizontal="center" vertical="center" wrapText="1"/>
    </xf>
    <xf numFmtId="0" fontId="24" fillId="15" borderId="17" xfId="0" applyFont="1" applyFill="1" applyBorder="1" applyAlignment="1">
      <alignment horizontal="center" vertical="center" wrapText="1"/>
    </xf>
    <xf numFmtId="0" fontId="24" fillId="15" borderId="18" xfId="0" applyFont="1" applyFill="1" applyBorder="1" applyAlignment="1">
      <alignment horizontal="center" vertical="center" wrapText="1"/>
    </xf>
    <xf numFmtId="0" fontId="2" fillId="13" borderId="21" xfId="0" applyFont="1" applyFill="1" applyBorder="1" applyAlignment="1">
      <alignment horizontal="right" vertical="center" wrapText="1"/>
    </xf>
    <xf numFmtId="0" fontId="5" fillId="0" borderId="21" xfId="0" applyFont="1" applyFill="1" applyBorder="1" applyAlignment="1">
      <alignment horizontal="left" vertical="center" wrapText="1"/>
    </xf>
    <xf numFmtId="0" fontId="5" fillId="0" borderId="21" xfId="0" applyFont="1" applyFill="1" applyBorder="1" applyAlignment="1">
      <alignment horizontal="center" vertical="center" wrapText="1"/>
    </xf>
    <xf numFmtId="0" fontId="5" fillId="2" borderId="21" xfId="0" applyFont="1" applyFill="1" applyBorder="1" applyAlignment="1">
      <alignment horizontal="left" vertical="center" wrapText="1"/>
    </xf>
    <xf numFmtId="0" fontId="5" fillId="2" borderId="2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5" fillId="3" borderId="41" xfId="0" applyFont="1" applyFill="1" applyBorder="1" applyAlignment="1">
      <alignment horizontal="center" vertical="center" textRotation="90" wrapText="1"/>
    </xf>
    <xf numFmtId="0" fontId="5" fillId="3" borderId="55" xfId="0" applyFont="1" applyFill="1" applyBorder="1" applyAlignment="1">
      <alignment horizontal="center" vertical="center" textRotation="90" wrapText="1"/>
    </xf>
    <xf numFmtId="0" fontId="5" fillId="3" borderId="43" xfId="0" applyFont="1" applyFill="1" applyBorder="1" applyAlignment="1">
      <alignment horizontal="center" vertical="center" textRotation="90" wrapText="1"/>
    </xf>
    <xf numFmtId="4" fontId="8" fillId="0" borderId="15" xfId="0" applyNumberFormat="1" applyFont="1" applyFill="1" applyBorder="1" applyAlignment="1">
      <alignment horizontal="right" vertical="center" shrinkToFit="1"/>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2" fillId="3" borderId="15" xfId="0" applyFont="1" applyFill="1" applyBorder="1" applyAlignment="1">
      <alignment horizontal="center" vertical="center" wrapText="1"/>
    </xf>
    <xf numFmtId="0" fontId="2" fillId="3" borderId="14" xfId="0" applyFont="1" applyFill="1" applyBorder="1" applyAlignment="1">
      <alignment horizontal="right" vertical="center" wrapText="1"/>
    </xf>
    <xf numFmtId="0" fontId="2" fillId="3" borderId="15" xfId="0" applyFont="1" applyFill="1" applyBorder="1" applyAlignment="1">
      <alignment horizontal="right" vertical="center" wrapText="1"/>
    </xf>
    <xf numFmtId="0" fontId="8" fillId="0" borderId="29" xfId="0" applyFont="1" applyBorder="1" applyAlignment="1">
      <alignment horizontal="center" vertical="top"/>
    </xf>
    <xf numFmtId="0" fontId="8" fillId="0" borderId="30" xfId="0" applyFont="1" applyBorder="1" applyAlignment="1">
      <alignment horizontal="center" vertical="top"/>
    </xf>
    <xf numFmtId="0" fontId="8" fillId="0" borderId="31" xfId="0" applyFont="1" applyBorder="1" applyAlignment="1">
      <alignment horizontal="center" vertical="top"/>
    </xf>
    <xf numFmtId="4" fontId="7" fillId="4" borderId="13" xfId="0" applyNumberFormat="1" applyFont="1" applyFill="1" applyBorder="1" applyAlignment="1">
      <alignment horizontal="right" vertical="center" shrinkToFit="1"/>
    </xf>
    <xf numFmtId="4" fontId="7" fillId="4" borderId="14" xfId="0" applyNumberFormat="1" applyFont="1" applyFill="1" applyBorder="1" applyAlignment="1">
      <alignment horizontal="right" vertical="center" shrinkToFit="1"/>
    </xf>
    <xf numFmtId="4" fontId="7" fillId="4" borderId="53" xfId="0" applyNumberFormat="1" applyFont="1" applyFill="1" applyBorder="1" applyAlignment="1">
      <alignment horizontal="right" vertical="center" shrinkToFit="1"/>
    </xf>
    <xf numFmtId="0" fontId="2" fillId="0" borderId="0"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59"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44" fontId="23" fillId="8" borderId="83" xfId="6" applyFont="1" applyFill="1" applyBorder="1" applyAlignment="1">
      <alignment horizontal="right" vertical="center" shrinkToFit="1"/>
    </xf>
    <xf numFmtId="44" fontId="23" fillId="8" borderId="80" xfId="6" applyFont="1" applyFill="1" applyBorder="1" applyAlignment="1">
      <alignment horizontal="right" vertical="center" shrinkToFit="1"/>
    </xf>
    <xf numFmtId="44" fontId="23" fillId="8" borderId="84" xfId="6" applyFont="1" applyFill="1" applyBorder="1" applyAlignment="1">
      <alignment horizontal="right" vertical="center" shrinkToFit="1"/>
    </xf>
    <xf numFmtId="0" fontId="5" fillId="0" borderId="58"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12" fillId="5" borderId="79" xfId="0" applyFont="1" applyFill="1" applyBorder="1" applyAlignment="1">
      <alignment horizontal="right" vertical="center" wrapText="1"/>
    </xf>
    <xf numFmtId="0" fontId="12" fillId="5" borderId="80" xfId="0" applyFont="1" applyFill="1" applyBorder="1" applyAlignment="1">
      <alignment horizontal="right" vertical="center" wrapText="1"/>
    </xf>
    <xf numFmtId="0" fontId="12" fillId="5" borderId="81" xfId="0" applyFont="1" applyFill="1" applyBorder="1" applyAlignment="1">
      <alignment horizontal="right" vertical="center" wrapText="1"/>
    </xf>
    <xf numFmtId="0" fontId="5" fillId="0" borderId="47" xfId="0" applyFont="1" applyFill="1" applyBorder="1" applyAlignment="1">
      <alignment horizontal="left" vertical="center" wrapText="1"/>
    </xf>
    <xf numFmtId="0" fontId="26" fillId="15" borderId="50" xfId="0" applyFont="1" applyFill="1" applyBorder="1" applyAlignment="1">
      <alignment horizontal="center" vertical="center" wrapText="1"/>
    </xf>
    <xf numFmtId="0" fontId="26" fillId="15" borderId="51" xfId="0" applyFont="1" applyFill="1" applyBorder="1" applyAlignment="1">
      <alignment horizontal="center" vertical="center" wrapText="1"/>
    </xf>
    <xf numFmtId="0" fontId="26" fillId="15" borderId="52" xfId="0" applyFont="1" applyFill="1" applyBorder="1" applyAlignment="1">
      <alignment horizontal="center" vertical="center" wrapText="1"/>
    </xf>
    <xf numFmtId="0" fontId="5" fillId="0" borderId="53" xfId="0" applyFont="1" applyFill="1" applyBorder="1" applyAlignment="1">
      <alignment horizontal="left" vertical="center" wrapText="1"/>
    </xf>
    <xf numFmtId="0" fontId="29" fillId="15" borderId="54" xfId="0" applyFont="1" applyFill="1" applyBorder="1" applyAlignment="1">
      <alignment horizontal="center" vertical="center" wrapText="1"/>
    </xf>
    <xf numFmtId="0" fontId="29" fillId="15" borderId="14" xfId="0" applyFont="1" applyFill="1" applyBorder="1" applyAlignment="1">
      <alignment horizontal="center" vertical="center" wrapText="1"/>
    </xf>
    <xf numFmtId="0" fontId="29" fillId="15" borderId="53" xfId="0" applyFont="1" applyFill="1" applyBorder="1" applyAlignment="1">
      <alignment horizontal="center"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5" fillId="9" borderId="2" xfId="0" applyFont="1" applyFill="1" applyBorder="1" applyAlignment="1">
      <alignment horizontal="left" vertical="center" wrapText="1"/>
    </xf>
    <xf numFmtId="0" fontId="5" fillId="9" borderId="3" xfId="0" applyFont="1" applyFill="1" applyBorder="1" applyAlignment="1">
      <alignment horizontal="left" vertical="center" wrapText="1"/>
    </xf>
    <xf numFmtId="0" fontId="5" fillId="9" borderId="48" xfId="0" applyFont="1" applyFill="1" applyBorder="1" applyAlignment="1">
      <alignment horizontal="left" vertical="center" wrapText="1"/>
    </xf>
    <xf numFmtId="0" fontId="5" fillId="9" borderId="9" xfId="0" applyFont="1" applyFill="1" applyBorder="1" applyAlignment="1">
      <alignment horizontal="left" vertical="center" wrapText="1"/>
    </xf>
    <xf numFmtId="0" fontId="5" fillId="9" borderId="10" xfId="0" applyFont="1" applyFill="1" applyBorder="1" applyAlignment="1">
      <alignment horizontal="left" vertical="center" wrapText="1"/>
    </xf>
    <xf numFmtId="0" fontId="5" fillId="9" borderId="40" xfId="0" applyFont="1" applyFill="1" applyBorder="1" applyAlignment="1">
      <alignment horizontal="left" vertical="center" wrapText="1"/>
    </xf>
    <xf numFmtId="0" fontId="2" fillId="0" borderId="5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6" borderId="54"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2" fillId="6" borderId="53"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54" xfId="0" applyFont="1" applyFill="1" applyBorder="1" applyAlignment="1">
      <alignment horizontal="right" vertical="center" wrapText="1"/>
    </xf>
    <xf numFmtId="0" fontId="2" fillId="0" borderId="14" xfId="0" applyFont="1" applyFill="1" applyBorder="1" applyAlignment="1">
      <alignment horizontal="right" vertical="center" wrapText="1"/>
    </xf>
    <xf numFmtId="0" fontId="2" fillId="0" borderId="15" xfId="0" applyFont="1" applyFill="1" applyBorder="1" applyAlignment="1">
      <alignment horizontal="right" vertical="center" wrapText="1"/>
    </xf>
    <xf numFmtId="0" fontId="2" fillId="0" borderId="14"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2" fillId="0" borderId="10" xfId="0" applyFont="1" applyFill="1" applyBorder="1" applyAlignment="1">
      <alignment horizontal="right" vertical="center" wrapText="1"/>
    </xf>
    <xf numFmtId="0" fontId="2" fillId="0" borderId="19"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9" xfId="0" applyFont="1" applyFill="1" applyBorder="1" applyAlignment="1">
      <alignment horizontal="right" vertical="center" wrapText="1"/>
    </xf>
    <xf numFmtId="0" fontId="2" fillId="0" borderId="30" xfId="0" applyFont="1" applyFill="1" applyBorder="1" applyAlignment="1">
      <alignment horizontal="right" vertical="center" wrapText="1"/>
    </xf>
    <xf numFmtId="0" fontId="2" fillId="0" borderId="93" xfId="0" applyFont="1" applyFill="1" applyBorder="1" applyAlignment="1">
      <alignment horizontal="right" vertical="center" wrapText="1"/>
    </xf>
    <xf numFmtId="0" fontId="2" fillId="0" borderId="21" xfId="0" applyFont="1" applyFill="1" applyBorder="1" applyAlignment="1">
      <alignment horizontal="right" vertical="center" wrapText="1"/>
    </xf>
    <xf numFmtId="0" fontId="2" fillId="6" borderId="24" xfId="0" applyFont="1" applyFill="1" applyBorder="1" applyAlignment="1">
      <alignment horizontal="left" vertical="center" wrapText="1"/>
    </xf>
    <xf numFmtId="0" fontId="5" fillId="0" borderId="3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6" borderId="5" xfId="0" applyFont="1" applyFill="1" applyBorder="1" applyAlignment="1">
      <alignment horizontal="left" vertical="center" wrapText="1"/>
    </xf>
    <xf numFmtId="0" fontId="5" fillId="9" borderId="6" xfId="0" applyFont="1" applyFill="1" applyBorder="1" applyAlignment="1">
      <alignment horizontal="left" vertical="center" wrapText="1"/>
    </xf>
    <xf numFmtId="0" fontId="5" fillId="9" borderId="0" xfId="0" applyFont="1" applyFill="1" applyBorder="1" applyAlignment="1">
      <alignment horizontal="left" vertical="center" wrapText="1"/>
    </xf>
    <xf numFmtId="0" fontId="5" fillId="9" borderId="20" xfId="0" applyFont="1" applyFill="1" applyBorder="1" applyAlignment="1">
      <alignment horizontal="left" vertical="center" wrapText="1"/>
    </xf>
    <xf numFmtId="0" fontId="2" fillId="0" borderId="32"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39" xfId="0" applyFont="1" applyFill="1" applyBorder="1" applyAlignment="1">
      <alignment horizontal="right" vertical="center" wrapText="1"/>
    </xf>
    <xf numFmtId="0" fontId="5" fillId="0" borderId="19" xfId="0" applyFont="1" applyFill="1" applyBorder="1" applyAlignment="1">
      <alignment horizontal="center" vertical="center" wrapText="1"/>
    </xf>
    <xf numFmtId="0" fontId="2" fillId="0" borderId="28" xfId="0" applyFont="1" applyFill="1" applyBorder="1" applyAlignment="1">
      <alignment horizontal="right" vertical="center" wrapText="1"/>
    </xf>
    <xf numFmtId="0" fontId="2" fillId="0" borderId="36" xfId="0" applyFont="1" applyFill="1" applyBorder="1" applyAlignment="1">
      <alignment horizontal="right" vertical="center" wrapText="1"/>
    </xf>
    <xf numFmtId="0" fontId="2" fillId="0" borderId="22" xfId="0" applyFont="1" applyFill="1" applyBorder="1" applyAlignment="1">
      <alignment horizontal="right" vertical="center" wrapText="1"/>
    </xf>
    <xf numFmtId="0" fontId="5" fillId="0" borderId="120" xfId="0" applyFont="1" applyFill="1" applyBorder="1" applyAlignment="1">
      <alignment horizontal="center" vertical="center"/>
    </xf>
    <xf numFmtId="0" fontId="5" fillId="0" borderId="24" xfId="0" applyFont="1" applyFill="1" applyBorder="1" applyAlignment="1">
      <alignment horizontal="center" vertical="center"/>
    </xf>
    <xf numFmtId="0" fontId="2" fillId="0" borderId="40" xfId="0" applyFont="1" applyFill="1" applyBorder="1" applyAlignment="1">
      <alignment horizontal="center" vertical="center" wrapText="1"/>
    </xf>
    <xf numFmtId="0" fontId="5" fillId="0" borderId="0" xfId="0" applyFont="1" applyFill="1" applyBorder="1" applyAlignment="1">
      <alignment horizontal="center" wrapText="1"/>
    </xf>
    <xf numFmtId="0" fontId="2" fillId="0" borderId="4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7" xfId="0" applyFont="1" applyFill="1" applyBorder="1" applyAlignment="1">
      <alignment horizontal="right" vertical="center" wrapText="1"/>
    </xf>
    <xf numFmtId="0" fontId="2" fillId="0" borderId="3" xfId="0" applyFont="1" applyFill="1" applyBorder="1" applyAlignment="1">
      <alignment horizontal="right" vertical="center" wrapText="1"/>
    </xf>
    <xf numFmtId="0" fontId="2" fillId="0" borderId="122" xfId="0" applyFont="1" applyFill="1" applyBorder="1" applyAlignment="1">
      <alignment horizontal="right" vertical="center" wrapText="1"/>
    </xf>
    <xf numFmtId="44" fontId="20" fillId="0" borderId="54" xfId="6" applyFont="1" applyFill="1" applyBorder="1" applyAlignment="1">
      <alignment horizontal="left" vertical="top" wrapText="1"/>
    </xf>
    <xf numFmtId="44" fontId="20" fillId="0" borderId="14" xfId="6" applyFont="1" applyFill="1" applyBorder="1" applyAlignment="1">
      <alignment horizontal="left" vertical="top" wrapText="1"/>
    </xf>
    <xf numFmtId="44" fontId="20" fillId="0" borderId="15" xfId="6" applyFont="1" applyFill="1" applyBorder="1" applyAlignment="1">
      <alignment horizontal="left" vertical="top" wrapText="1"/>
    </xf>
    <xf numFmtId="44" fontId="20" fillId="0" borderId="54" xfId="0" applyNumberFormat="1" applyFont="1" applyFill="1" applyBorder="1" applyAlignment="1">
      <alignment horizontal="left" vertical="top" wrapText="1"/>
    </xf>
    <xf numFmtId="44" fontId="20" fillId="0" borderId="14" xfId="0" applyNumberFormat="1" applyFont="1" applyFill="1" applyBorder="1" applyAlignment="1">
      <alignment horizontal="left" vertical="top" wrapText="1"/>
    </xf>
    <xf numFmtId="44" fontId="20" fillId="0" borderId="15" xfId="0" applyNumberFormat="1" applyFont="1" applyFill="1" applyBorder="1" applyAlignment="1">
      <alignment horizontal="left" vertical="top" wrapText="1"/>
    </xf>
    <xf numFmtId="44" fontId="20" fillId="0" borderId="105" xfId="0" applyNumberFormat="1" applyFont="1" applyFill="1" applyBorder="1" applyAlignment="1">
      <alignment horizontal="left" vertical="top" wrapText="1"/>
    </xf>
    <xf numFmtId="0" fontId="20" fillId="12" borderId="108" xfId="0" applyFont="1" applyFill="1" applyBorder="1" applyAlignment="1">
      <alignment horizontal="center" vertical="top" wrapText="1"/>
    </xf>
    <xf numFmtId="0" fontId="20" fillId="12" borderId="98" xfId="0" applyFont="1" applyFill="1" applyBorder="1" applyAlignment="1">
      <alignment horizontal="center" vertical="top" wrapText="1"/>
    </xf>
    <xf numFmtId="0" fontId="20" fillId="12" borderId="96" xfId="0" applyFont="1" applyFill="1" applyBorder="1" applyAlignment="1">
      <alignment horizontal="center" vertical="top" wrapText="1"/>
    </xf>
    <xf numFmtId="44" fontId="20" fillId="0" borderId="56" xfId="6" applyFont="1" applyFill="1" applyBorder="1" applyAlignment="1">
      <alignment horizontal="left" vertical="top" wrapText="1"/>
    </xf>
    <xf numFmtId="44" fontId="20" fillId="0" borderId="36" xfId="6" applyFont="1" applyFill="1" applyBorder="1" applyAlignment="1">
      <alignment horizontal="left" vertical="top" wrapText="1"/>
    </xf>
    <xf numFmtId="44" fontId="20" fillId="0" borderId="22" xfId="6" applyFont="1" applyFill="1" applyBorder="1" applyAlignment="1">
      <alignment horizontal="left" vertical="top" wrapText="1"/>
    </xf>
    <xf numFmtId="44" fontId="20" fillId="0" borderId="110" xfId="6" applyFont="1" applyFill="1" applyBorder="1" applyAlignment="1">
      <alignment horizontal="left" vertical="top" wrapText="1"/>
    </xf>
    <xf numFmtId="44" fontId="20" fillId="0" borderId="102" xfId="6" applyFont="1" applyFill="1" applyBorder="1" applyAlignment="1">
      <alignment horizontal="left" vertical="top" wrapText="1"/>
    </xf>
    <xf numFmtId="44" fontId="20" fillId="0" borderId="103" xfId="6" applyFont="1" applyFill="1" applyBorder="1" applyAlignment="1">
      <alignment horizontal="left" vertical="top" wrapText="1"/>
    </xf>
    <xf numFmtId="0" fontId="20" fillId="0" borderId="61"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63" xfId="0" applyFont="1" applyFill="1" applyBorder="1" applyAlignment="1">
      <alignment horizontal="left" vertical="top" wrapText="1"/>
    </xf>
    <xf numFmtId="0" fontId="20" fillId="0" borderId="10" xfId="0" applyFont="1" applyFill="1" applyBorder="1" applyAlignment="1">
      <alignment horizontal="left" vertical="top" wrapText="1"/>
    </xf>
    <xf numFmtId="0" fontId="20" fillId="0" borderId="11" xfId="0" applyFont="1" applyFill="1" applyBorder="1" applyAlignment="1">
      <alignment horizontal="left" vertical="top" wrapText="1"/>
    </xf>
    <xf numFmtId="0" fontId="20" fillId="0" borderId="2" xfId="0" applyFont="1" applyFill="1" applyBorder="1" applyAlignment="1">
      <alignment vertical="top" wrapText="1"/>
    </xf>
    <xf numFmtId="0" fontId="20" fillId="0" borderId="3" xfId="0" applyFont="1" applyFill="1" applyBorder="1" applyAlignment="1">
      <alignment vertical="top" wrapText="1"/>
    </xf>
    <xf numFmtId="0" fontId="20" fillId="0" borderId="4" xfId="0" applyFont="1" applyFill="1" applyBorder="1" applyAlignment="1">
      <alignment vertical="top" wrapText="1"/>
    </xf>
    <xf numFmtId="0" fontId="20" fillId="0" borderId="29" xfId="0" applyFont="1" applyFill="1" applyBorder="1" applyAlignment="1">
      <alignment horizontal="left" vertical="top" wrapText="1"/>
    </xf>
    <xf numFmtId="0" fontId="20" fillId="0" borderId="30" xfId="0" applyFont="1" applyFill="1" applyBorder="1" applyAlignment="1">
      <alignment horizontal="left" vertical="top" wrapText="1"/>
    </xf>
    <xf numFmtId="0" fontId="20" fillId="0" borderId="66"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20"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13" xfId="0" applyFont="1" applyFill="1" applyBorder="1" applyAlignment="1">
      <alignment horizontal="left" vertical="top" wrapText="1"/>
    </xf>
    <xf numFmtId="0" fontId="20" fillId="0" borderId="14" xfId="0" applyFont="1" applyFill="1" applyBorder="1" applyAlignment="1">
      <alignment horizontal="left" vertical="top" wrapText="1"/>
    </xf>
    <xf numFmtId="0" fontId="20" fillId="0" borderId="15" xfId="0" applyFont="1" applyFill="1" applyBorder="1" applyAlignment="1">
      <alignment horizontal="left" vertical="top" wrapText="1"/>
    </xf>
    <xf numFmtId="44" fontId="21" fillId="0" borderId="13" xfId="6" applyFont="1" applyFill="1" applyBorder="1" applyAlignment="1">
      <alignment horizontal="left" vertical="top" shrinkToFit="1"/>
    </xf>
    <xf numFmtId="44" fontId="21" fillId="0" borderId="14" xfId="6" applyFont="1" applyFill="1" applyBorder="1" applyAlignment="1">
      <alignment horizontal="left" vertical="top" shrinkToFit="1"/>
    </xf>
    <xf numFmtId="44" fontId="21" fillId="0" borderId="15" xfId="6" applyFont="1" applyFill="1" applyBorder="1" applyAlignment="1">
      <alignment horizontal="left" vertical="top" shrinkToFit="1"/>
    </xf>
    <xf numFmtId="44" fontId="21" fillId="0" borderId="105" xfId="6" applyFont="1" applyFill="1" applyBorder="1" applyAlignment="1">
      <alignment vertical="top" shrinkToFit="1"/>
    </xf>
    <xf numFmtId="44" fontId="21" fillId="0" borderId="14" xfId="6" applyFont="1" applyFill="1" applyBorder="1" applyAlignment="1">
      <alignment vertical="top" shrinkToFit="1"/>
    </xf>
    <xf numFmtId="44" fontId="21" fillId="0" borderId="15" xfId="6" applyFont="1" applyFill="1" applyBorder="1" applyAlignment="1">
      <alignment vertical="top" shrinkToFit="1"/>
    </xf>
    <xf numFmtId="0" fontId="20" fillId="0" borderId="37" xfId="0" applyFont="1" applyFill="1" applyBorder="1" applyAlignment="1">
      <alignment horizontal="left" vertical="top" wrapText="1"/>
    </xf>
    <xf numFmtId="0" fontId="20" fillId="0" borderId="32" xfId="0" applyFont="1" applyFill="1" applyBorder="1" applyAlignment="1">
      <alignment horizontal="left" vertical="top" wrapText="1"/>
    </xf>
    <xf numFmtId="0" fontId="20" fillId="0" borderId="62" xfId="0" applyFont="1" applyFill="1" applyBorder="1" applyAlignment="1">
      <alignment horizontal="left" vertical="top" wrapText="1"/>
    </xf>
    <xf numFmtId="0" fontId="20" fillId="0" borderId="93" xfId="0" applyFont="1" applyFill="1" applyBorder="1" applyAlignment="1">
      <alignment horizontal="left" vertical="top" wrapText="1"/>
    </xf>
    <xf numFmtId="0" fontId="21" fillId="0" borderId="19" xfId="0" applyFont="1" applyFill="1" applyBorder="1" applyAlignment="1">
      <alignment horizontal="center" wrapText="1"/>
    </xf>
    <xf numFmtId="0" fontId="21" fillId="0" borderId="0" xfId="0" applyFont="1" applyFill="1" applyBorder="1" applyAlignment="1">
      <alignment horizontal="center" wrapText="1"/>
    </xf>
    <xf numFmtId="0" fontId="21" fillId="0" borderId="20" xfId="0" applyFont="1" applyFill="1" applyBorder="1" applyAlignment="1">
      <alignment horizontal="center" wrapText="1"/>
    </xf>
    <xf numFmtId="0" fontId="20" fillId="0" borderId="65" xfId="0" applyFont="1" applyFill="1" applyBorder="1" applyAlignment="1">
      <alignment horizontal="left" vertical="top" wrapText="1"/>
    </xf>
    <xf numFmtId="0" fontId="20" fillId="0" borderId="40" xfId="0" applyFont="1" applyFill="1" applyBorder="1" applyAlignment="1">
      <alignment horizontal="left" vertical="top" wrapText="1"/>
    </xf>
    <xf numFmtId="0" fontId="20" fillId="12" borderId="50" xfId="0" applyFont="1" applyFill="1" applyBorder="1" applyAlignment="1">
      <alignment horizontal="center" vertical="center" wrapText="1"/>
    </xf>
    <xf numFmtId="0" fontId="20" fillId="12" borderId="51" xfId="0" applyFont="1" applyFill="1" applyBorder="1" applyAlignment="1">
      <alignment horizontal="center" vertical="center" wrapText="1"/>
    </xf>
    <xf numFmtId="0" fontId="20" fillId="0" borderId="70" xfId="0" applyFont="1" applyFill="1" applyBorder="1" applyAlignment="1">
      <alignment horizontal="left" vertical="top" wrapText="1"/>
    </xf>
    <xf numFmtId="0" fontId="20" fillId="0" borderId="71" xfId="0" applyFont="1" applyFill="1" applyBorder="1" applyAlignment="1">
      <alignment horizontal="left" vertical="top" wrapText="1"/>
    </xf>
    <xf numFmtId="0" fontId="20" fillId="0" borderId="115" xfId="0" applyFont="1" applyFill="1" applyBorder="1" applyAlignment="1">
      <alignment horizontal="left" vertical="top" wrapText="1"/>
    </xf>
    <xf numFmtId="1" fontId="21" fillId="0" borderId="54" xfId="0" applyNumberFormat="1" applyFont="1" applyFill="1" applyBorder="1" applyAlignment="1">
      <alignment horizontal="center" vertical="top" shrinkToFit="1"/>
    </xf>
    <xf numFmtId="1" fontId="21" fillId="0" borderId="15" xfId="0" applyNumberFormat="1" applyFont="1" applyFill="1" applyBorder="1" applyAlignment="1">
      <alignment horizontal="center" vertical="top" shrinkToFit="1"/>
    </xf>
    <xf numFmtId="0" fontId="20" fillId="12" borderId="113" xfId="0" applyFont="1" applyFill="1" applyBorder="1" applyAlignment="1">
      <alignment horizontal="center" vertical="center" wrapText="1"/>
    </xf>
    <xf numFmtId="0" fontId="20" fillId="12" borderId="91" xfId="0" applyFont="1" applyFill="1" applyBorder="1" applyAlignment="1">
      <alignment horizontal="center" vertical="center" wrapText="1"/>
    </xf>
    <xf numFmtId="0" fontId="20" fillId="12" borderId="92" xfId="0" applyFont="1" applyFill="1" applyBorder="1" applyAlignment="1">
      <alignment horizontal="center" vertical="center" wrapText="1"/>
    </xf>
    <xf numFmtId="0" fontId="20" fillId="12" borderId="86" xfId="0" applyFont="1" applyFill="1" applyBorder="1" applyAlignment="1">
      <alignment horizontal="center" vertical="center" wrapText="1"/>
    </xf>
    <xf numFmtId="0" fontId="20" fillId="12" borderId="87" xfId="0" applyFont="1" applyFill="1" applyBorder="1" applyAlignment="1">
      <alignment horizontal="center" vertical="center" wrapText="1"/>
    </xf>
    <xf numFmtId="0" fontId="20" fillId="12" borderId="88" xfId="0" applyFont="1" applyFill="1" applyBorder="1" applyAlignment="1">
      <alignment horizontal="center" vertical="center" wrapText="1"/>
    </xf>
    <xf numFmtId="0" fontId="20" fillId="12" borderId="85" xfId="0" applyFont="1" applyFill="1" applyBorder="1" applyAlignment="1">
      <alignment horizontal="center" vertical="center" wrapText="1"/>
    </xf>
    <xf numFmtId="0" fontId="20" fillId="12" borderId="30" xfId="0" applyFont="1" applyFill="1" applyBorder="1" applyAlignment="1">
      <alignment horizontal="center" vertical="center" wrapText="1"/>
    </xf>
    <xf numFmtId="0" fontId="20" fillId="12" borderId="93" xfId="0" applyFont="1" applyFill="1" applyBorder="1" applyAlignment="1">
      <alignment horizontal="center" vertical="center" wrapText="1"/>
    </xf>
    <xf numFmtId="0" fontId="21" fillId="12" borderId="90" xfId="0" applyFont="1" applyFill="1" applyBorder="1" applyAlignment="1">
      <alignment horizontal="left" wrapText="1"/>
    </xf>
    <xf numFmtId="0" fontId="21" fillId="12" borderId="91" xfId="0" applyFont="1" applyFill="1" applyBorder="1" applyAlignment="1">
      <alignment horizontal="left" wrapText="1"/>
    </xf>
    <xf numFmtId="0" fontId="21" fillId="12" borderId="92" xfId="0" applyFont="1" applyFill="1" applyBorder="1" applyAlignment="1">
      <alignment horizontal="left" wrapText="1"/>
    </xf>
    <xf numFmtId="1" fontId="21" fillId="0" borderId="110" xfId="0" applyNumberFormat="1" applyFont="1" applyFill="1" applyBorder="1" applyAlignment="1">
      <alignment horizontal="center" vertical="top" shrinkToFit="1"/>
    </xf>
    <xf numFmtId="1" fontId="21" fillId="0" borderId="103" xfId="0" applyNumberFormat="1" applyFont="1" applyFill="1" applyBorder="1" applyAlignment="1">
      <alignment horizontal="center" vertical="top" shrinkToFit="1"/>
    </xf>
    <xf numFmtId="0" fontId="20" fillId="0" borderId="101" xfId="0" applyFont="1" applyFill="1" applyBorder="1" applyAlignment="1">
      <alignment horizontal="left" vertical="top" wrapText="1"/>
    </xf>
    <xf numFmtId="0" fontId="20" fillId="0" borderId="102" xfId="0" applyFont="1" applyFill="1" applyBorder="1" applyAlignment="1">
      <alignment horizontal="left" vertical="top" wrapText="1"/>
    </xf>
    <xf numFmtId="0" fontId="20" fillId="0" borderId="103" xfId="0" applyFont="1" applyFill="1" applyBorder="1" applyAlignment="1">
      <alignment horizontal="left" vertical="top" wrapText="1"/>
    </xf>
    <xf numFmtId="0" fontId="20" fillId="0" borderId="39" xfId="0" applyFont="1" applyFill="1" applyBorder="1" applyAlignment="1">
      <alignment horizontal="left" vertical="top" wrapText="1"/>
    </xf>
    <xf numFmtId="0" fontId="20" fillId="0" borderId="19"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20" xfId="0" applyFont="1" applyFill="1" applyBorder="1" applyAlignment="1">
      <alignment horizontal="left" vertical="center" wrapText="1"/>
    </xf>
    <xf numFmtId="0" fontId="20" fillId="0" borderId="47" xfId="0" applyFont="1" applyFill="1" applyBorder="1" applyAlignment="1">
      <alignment horizontal="left" vertical="top" wrapText="1"/>
    </xf>
    <xf numFmtId="0" fontId="20" fillId="0" borderId="48" xfId="0" applyFont="1" applyFill="1" applyBorder="1" applyAlignment="1">
      <alignment horizontal="left" vertical="top" wrapText="1"/>
    </xf>
    <xf numFmtId="44" fontId="21" fillId="0" borderId="105" xfId="6" applyFont="1" applyBorder="1" applyAlignment="1">
      <alignment vertical="top" shrinkToFit="1"/>
    </xf>
    <xf numFmtId="44" fontId="21" fillId="0" borderId="14" xfId="6" applyFont="1" applyBorder="1" applyAlignment="1">
      <alignment vertical="top" shrinkToFit="1"/>
    </xf>
    <xf numFmtId="44" fontId="21" fillId="0" borderId="15" xfId="6" applyFont="1" applyBorder="1" applyAlignment="1">
      <alignment vertical="top" shrinkToFit="1"/>
    </xf>
    <xf numFmtId="44" fontId="21" fillId="0" borderId="106" xfId="6" applyFont="1" applyBorder="1" applyAlignment="1">
      <alignment vertical="top" shrinkToFit="1"/>
    </xf>
    <xf numFmtId="44" fontId="21" fillId="0" borderId="73" xfId="6" applyFont="1" applyBorder="1" applyAlignment="1">
      <alignment vertical="top" shrinkToFit="1"/>
    </xf>
    <xf numFmtId="44" fontId="21" fillId="0" borderId="75" xfId="6" applyFont="1" applyBorder="1" applyAlignment="1">
      <alignment vertical="top" shrinkToFit="1"/>
    </xf>
    <xf numFmtId="44" fontId="21" fillId="0" borderId="104" xfId="6" applyFont="1" applyFill="1" applyBorder="1" applyAlignment="1">
      <alignment vertical="top" shrinkToFit="1"/>
    </xf>
    <xf numFmtId="44" fontId="21" fillId="0" borderId="98" xfId="6" applyFont="1" applyFill="1" applyBorder="1" applyAlignment="1">
      <alignment vertical="top" shrinkToFit="1"/>
    </xf>
    <xf numFmtId="44" fontId="21" fillId="0" borderId="96" xfId="6" applyFont="1" applyFill="1" applyBorder="1" applyAlignment="1">
      <alignment vertical="top" shrinkToFit="1"/>
    </xf>
    <xf numFmtId="0" fontId="20" fillId="12" borderId="114" xfId="0" applyFont="1" applyFill="1" applyBorder="1" applyAlignment="1">
      <alignment horizontal="center" vertical="center" wrapText="1"/>
    </xf>
    <xf numFmtId="44" fontId="20" fillId="0" borderId="0" xfId="0" applyNumberFormat="1" applyFont="1" applyFill="1" applyBorder="1" applyAlignment="1">
      <alignment horizontal="right" vertical="top" wrapText="1" indent="1"/>
    </xf>
    <xf numFmtId="0" fontId="20" fillId="12" borderId="52" xfId="0" applyFont="1" applyFill="1" applyBorder="1" applyAlignment="1">
      <alignment horizontal="center" vertical="center" wrapText="1"/>
    </xf>
    <xf numFmtId="0" fontId="21" fillId="0" borderId="111" xfId="0" applyFont="1" applyFill="1" applyBorder="1" applyAlignment="1">
      <alignment horizontal="center" vertical="center" wrapText="1"/>
    </xf>
    <xf numFmtId="0" fontId="21" fillId="0" borderId="112"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6" fillId="15" borderId="16" xfId="0" applyFont="1" applyFill="1" applyBorder="1" applyAlignment="1">
      <alignment horizontal="center" vertical="center"/>
    </xf>
    <xf numFmtId="0" fontId="26" fillId="15" borderId="17" xfId="0" applyFont="1" applyFill="1" applyBorder="1" applyAlignment="1">
      <alignment horizontal="center" vertical="center"/>
    </xf>
    <xf numFmtId="0" fontId="26" fillId="15" borderId="116" xfId="0" applyFont="1" applyFill="1" applyBorder="1" applyAlignment="1">
      <alignment horizontal="center" vertical="center"/>
    </xf>
    <xf numFmtId="0" fontId="26" fillId="15" borderId="19" xfId="0" applyFont="1" applyFill="1" applyBorder="1" applyAlignment="1">
      <alignment horizontal="center" vertical="center"/>
    </xf>
    <xf numFmtId="0" fontId="26" fillId="15" borderId="0" xfId="0" applyFont="1" applyFill="1" applyBorder="1" applyAlignment="1">
      <alignment horizontal="center" vertical="center"/>
    </xf>
    <xf numFmtId="0" fontId="26" fillId="15" borderId="117" xfId="0" applyFont="1" applyFill="1" applyBorder="1" applyAlignment="1">
      <alignment horizontal="center" vertical="center"/>
    </xf>
    <xf numFmtId="0" fontId="26" fillId="15" borderId="29" xfId="0" applyFont="1" applyFill="1" applyBorder="1" applyAlignment="1">
      <alignment horizontal="center" vertical="center"/>
    </xf>
    <xf numFmtId="0" fontId="26" fillId="15" borderId="30" xfId="0" applyFont="1" applyFill="1" applyBorder="1" applyAlignment="1">
      <alignment horizontal="center" vertical="center"/>
    </xf>
    <xf numFmtId="0" fontId="26" fillId="15" borderId="66" xfId="0" applyFont="1" applyFill="1" applyBorder="1" applyAlignment="1">
      <alignment horizontal="center" vertical="center"/>
    </xf>
    <xf numFmtId="0" fontId="21" fillId="0" borderId="29" xfId="0" applyFont="1" applyFill="1" applyBorder="1" applyAlignment="1">
      <alignment horizontal="left" wrapText="1"/>
    </xf>
    <xf numFmtId="0" fontId="21" fillId="0" borderId="30" xfId="0" applyFont="1" applyFill="1" applyBorder="1" applyAlignment="1">
      <alignment horizontal="left" wrapText="1"/>
    </xf>
    <xf numFmtId="0" fontId="21" fillId="0" borderId="66" xfId="0" applyFont="1" applyFill="1" applyBorder="1" applyAlignment="1">
      <alignment horizontal="left" wrapText="1"/>
    </xf>
    <xf numFmtId="0" fontId="21" fillId="0" borderId="37" xfId="0" applyFont="1" applyFill="1" applyBorder="1" applyAlignment="1">
      <alignment horizontal="left" wrapText="1"/>
    </xf>
    <xf numFmtId="0" fontId="21" fillId="0" borderId="32" xfId="0" applyFont="1" applyFill="1" applyBorder="1" applyAlignment="1">
      <alignment horizontal="left" wrapText="1"/>
    </xf>
    <xf numFmtId="0" fontId="21" fillId="0" borderId="62" xfId="0" applyFont="1" applyFill="1" applyBorder="1" applyAlignment="1">
      <alignment horizontal="left" wrapText="1"/>
    </xf>
    <xf numFmtId="0" fontId="20" fillId="0" borderId="37" xfId="0" applyFont="1" applyFill="1" applyBorder="1" applyAlignment="1">
      <alignment horizontal="left" vertical="center" wrapText="1"/>
    </xf>
    <xf numFmtId="0" fontId="20" fillId="0" borderId="32" xfId="0" applyFont="1" applyFill="1" applyBorder="1" applyAlignment="1">
      <alignment horizontal="left" vertical="center" wrapText="1"/>
    </xf>
    <xf numFmtId="0" fontId="20" fillId="0" borderId="62" xfId="0" applyFont="1" applyFill="1" applyBorder="1" applyAlignment="1">
      <alignment horizontal="left" vertical="center" wrapText="1"/>
    </xf>
    <xf numFmtId="0" fontId="21" fillId="0" borderId="65" xfId="0" applyFont="1" applyFill="1" applyBorder="1" applyAlignment="1">
      <alignment horizontal="left" vertical="top"/>
    </xf>
    <xf numFmtId="0" fontId="21" fillId="0" borderId="30" xfId="0" applyFont="1" applyFill="1" applyBorder="1" applyAlignment="1">
      <alignment horizontal="left" vertical="top"/>
    </xf>
    <xf numFmtId="0" fontId="21" fillId="0" borderId="23" xfId="0" applyFont="1" applyFill="1" applyBorder="1" applyAlignment="1">
      <alignment horizontal="left" vertical="top"/>
    </xf>
    <xf numFmtId="0" fontId="21" fillId="0" borderId="32" xfId="0" applyFont="1" applyFill="1" applyBorder="1" applyAlignment="1">
      <alignment horizontal="left" vertical="top"/>
    </xf>
    <xf numFmtId="0" fontId="21" fillId="0" borderId="0" xfId="0" applyFont="1" applyFill="1" applyBorder="1" applyAlignment="1">
      <alignment horizontal="left" vertical="top"/>
    </xf>
    <xf numFmtId="0" fontId="27" fillId="15" borderId="16" xfId="0" applyFont="1" applyFill="1" applyBorder="1" applyAlignment="1">
      <alignment horizontal="center" vertical="center" wrapText="1"/>
    </xf>
    <xf numFmtId="0" fontId="27" fillId="15" borderId="17" xfId="0" applyFont="1" applyFill="1" applyBorder="1" applyAlignment="1">
      <alignment horizontal="center" vertical="center" wrapText="1"/>
    </xf>
    <xf numFmtId="0" fontId="27" fillId="15" borderId="19" xfId="0" applyFont="1" applyFill="1" applyBorder="1" applyAlignment="1">
      <alignment horizontal="center" vertical="center" wrapText="1"/>
    </xf>
    <xf numFmtId="0" fontId="27" fillId="15" borderId="0" xfId="0" applyFont="1" applyFill="1" applyBorder="1" applyAlignment="1">
      <alignment horizontal="center" vertical="center" wrapText="1"/>
    </xf>
    <xf numFmtId="0" fontId="20" fillId="12" borderId="100" xfId="0" applyFont="1" applyFill="1" applyBorder="1" applyAlignment="1">
      <alignment horizontal="center" vertical="center" wrapText="1"/>
    </xf>
    <xf numFmtId="0" fontId="20" fillId="12" borderId="29" xfId="0" applyFont="1" applyFill="1" applyBorder="1" applyAlignment="1">
      <alignment horizontal="center" vertical="center" wrapText="1"/>
    </xf>
    <xf numFmtId="0" fontId="20" fillId="12" borderId="95" xfId="0" applyFont="1" applyFill="1" applyBorder="1" applyAlignment="1">
      <alignment horizontal="center" vertical="top" wrapText="1"/>
    </xf>
    <xf numFmtId="44" fontId="21" fillId="0" borderId="101" xfId="6" applyFont="1" applyFill="1" applyBorder="1" applyAlignment="1">
      <alignment horizontal="left" vertical="top" shrinkToFit="1"/>
    </xf>
    <xf numFmtId="44" fontId="21" fillId="0" borderId="102" xfId="6" applyFont="1" applyFill="1" applyBorder="1" applyAlignment="1">
      <alignment horizontal="left" vertical="top" shrinkToFit="1"/>
    </xf>
    <xf numFmtId="44" fontId="21" fillId="0" borderId="103" xfId="6" applyFont="1" applyFill="1" applyBorder="1" applyAlignment="1">
      <alignment horizontal="left" vertical="top" shrinkToFit="1"/>
    </xf>
    <xf numFmtId="44" fontId="21" fillId="0" borderId="13" xfId="6" applyFont="1" applyBorder="1" applyAlignment="1">
      <alignment horizontal="left" vertical="top" shrinkToFit="1"/>
    </xf>
    <xf numFmtId="44" fontId="21" fillId="0" borderId="14" xfId="6" applyFont="1" applyBorder="1" applyAlignment="1">
      <alignment horizontal="left" vertical="top" shrinkToFit="1"/>
    </xf>
    <xf numFmtId="44" fontId="21" fillId="0" borderId="15" xfId="6" applyFont="1" applyBorder="1" applyAlignment="1">
      <alignment horizontal="left" vertical="top" shrinkToFit="1"/>
    </xf>
    <xf numFmtId="44" fontId="21" fillId="0" borderId="95" xfId="6" applyFont="1" applyFill="1" applyBorder="1" applyAlignment="1">
      <alignment horizontal="left" vertical="top" shrinkToFit="1"/>
    </xf>
    <xf numFmtId="44" fontId="21" fillId="0" borderId="98" xfId="6" applyFont="1" applyFill="1" applyBorder="1" applyAlignment="1">
      <alignment horizontal="left" vertical="top" shrinkToFit="1"/>
    </xf>
    <xf numFmtId="44" fontId="21" fillId="0" borderId="96" xfId="6" applyFont="1" applyFill="1" applyBorder="1" applyAlignment="1">
      <alignment horizontal="left" vertical="top" shrinkToFit="1"/>
    </xf>
    <xf numFmtId="44" fontId="21" fillId="0" borderId="107" xfId="6" applyFont="1" applyFill="1" applyBorder="1" applyAlignment="1">
      <alignment vertical="top" shrinkToFit="1"/>
    </xf>
    <xf numFmtId="44" fontId="21" fillId="0" borderId="102" xfId="6" applyFont="1" applyFill="1" applyBorder="1" applyAlignment="1">
      <alignment vertical="top" shrinkToFit="1"/>
    </xf>
    <xf numFmtId="44" fontId="21" fillId="0" borderId="103" xfId="6" applyFont="1" applyFill="1" applyBorder="1" applyAlignment="1">
      <alignment vertical="top" shrinkToFit="1"/>
    </xf>
    <xf numFmtId="0" fontId="20" fillId="0" borderId="23" xfId="0" applyFont="1" applyFill="1" applyBorder="1" applyAlignment="1">
      <alignment horizontal="left" vertical="top" wrapText="1"/>
    </xf>
    <xf numFmtId="0" fontId="20" fillId="0" borderId="85" xfId="0" applyFont="1" applyFill="1" applyBorder="1" applyAlignment="1">
      <alignment horizontal="left" vertical="top"/>
    </xf>
    <xf numFmtId="0" fontId="20" fillId="0" borderId="30" xfId="0" applyFont="1" applyFill="1" applyBorder="1" applyAlignment="1">
      <alignment horizontal="left" vertical="top"/>
    </xf>
    <xf numFmtId="0" fontId="20" fillId="0" borderId="66" xfId="0" applyFont="1" applyFill="1" applyBorder="1" applyAlignment="1">
      <alignment horizontal="left" vertical="top"/>
    </xf>
    <xf numFmtId="0" fontId="20" fillId="12" borderId="104" xfId="0" applyFont="1" applyFill="1" applyBorder="1" applyAlignment="1">
      <alignment horizontal="center" vertical="top" wrapText="1"/>
    </xf>
    <xf numFmtId="44" fontId="21" fillId="0" borderId="10" xfId="6" applyFont="1" applyFill="1" applyBorder="1" applyAlignment="1">
      <alignment horizontal="left" vertical="top"/>
    </xf>
    <xf numFmtId="44" fontId="21" fillId="0" borderId="11" xfId="6" applyFont="1" applyFill="1" applyBorder="1" applyAlignment="1">
      <alignment horizontal="left" vertical="top"/>
    </xf>
    <xf numFmtId="44" fontId="21" fillId="0" borderId="107" xfId="6" applyFont="1" applyFill="1" applyBorder="1" applyAlignment="1">
      <alignment horizontal="left" vertical="top" shrinkToFit="1"/>
    </xf>
    <xf numFmtId="0" fontId="20" fillId="0" borderId="107" xfId="0" applyFont="1" applyFill="1" applyBorder="1" applyAlignment="1">
      <alignment horizontal="left" vertical="top" wrapText="1"/>
    </xf>
    <xf numFmtId="0" fontId="20" fillId="0" borderId="47"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70" xfId="0" applyFont="1" applyBorder="1" applyAlignment="1">
      <alignment horizontal="center" vertical="center" wrapText="1"/>
    </xf>
    <xf numFmtId="0" fontId="20" fillId="0" borderId="78" xfId="0" applyFont="1" applyBorder="1" applyAlignment="1">
      <alignment horizontal="center" vertical="center" wrapText="1"/>
    </xf>
    <xf numFmtId="0" fontId="20" fillId="0" borderId="13" xfId="0" applyFont="1" applyBorder="1" applyAlignment="1">
      <alignment horizontal="left" vertical="top" wrapText="1"/>
    </xf>
    <xf numFmtId="0" fontId="20" fillId="0" borderId="14" xfId="0" applyFont="1" applyBorder="1" applyAlignment="1">
      <alignment horizontal="left" vertical="top" wrapText="1"/>
    </xf>
    <xf numFmtId="0" fontId="20" fillId="0" borderId="15" xfId="0" applyFont="1" applyBorder="1" applyAlignment="1">
      <alignment horizontal="left" vertical="top" wrapText="1"/>
    </xf>
    <xf numFmtId="44" fontId="21" fillId="0" borderId="77" xfId="6" applyFont="1" applyBorder="1" applyAlignment="1">
      <alignment horizontal="left" vertical="top" shrinkToFit="1"/>
    </xf>
    <xf numFmtId="44" fontId="21" fillId="0" borderId="73" xfId="6" applyFont="1" applyBorder="1" applyAlignment="1">
      <alignment horizontal="left" vertical="top" shrinkToFit="1"/>
    </xf>
    <xf numFmtId="44" fontId="21" fillId="0" borderId="75" xfId="6" applyFont="1" applyBorder="1" applyAlignment="1">
      <alignment horizontal="left" vertical="top" shrinkToFit="1"/>
    </xf>
    <xf numFmtId="0" fontId="20" fillId="0" borderId="77" xfId="0" applyFont="1" applyBorder="1" applyAlignment="1">
      <alignment horizontal="left" vertical="top" wrapText="1"/>
    </xf>
    <xf numFmtId="0" fontId="20" fillId="0" borderId="73" xfId="0" applyFont="1" applyBorder="1" applyAlignment="1">
      <alignment horizontal="left" vertical="top" wrapText="1"/>
    </xf>
    <xf numFmtId="0" fontId="20" fillId="0" borderId="75" xfId="0" applyFont="1" applyBorder="1" applyAlignment="1">
      <alignment horizontal="left" vertical="top" wrapText="1"/>
    </xf>
    <xf numFmtId="0" fontId="20" fillId="0" borderId="19" xfId="0" applyFont="1" applyFill="1" applyBorder="1" applyAlignment="1">
      <alignment horizontal="center" wrapText="1"/>
    </xf>
    <xf numFmtId="0" fontId="20" fillId="0" borderId="0" xfId="0" applyFont="1" applyFill="1" applyBorder="1" applyAlignment="1">
      <alignment horizontal="center" wrapText="1"/>
    </xf>
    <xf numFmtId="44" fontId="21" fillId="0" borderId="57" xfId="6" applyFont="1" applyBorder="1" applyAlignment="1">
      <alignment horizontal="left" vertical="top" shrinkToFit="1"/>
    </xf>
    <xf numFmtId="44" fontId="21" fillId="0" borderId="49" xfId="6" applyFont="1" applyBorder="1" applyAlignment="1">
      <alignment horizontal="left" vertical="top" shrinkToFit="1"/>
    </xf>
    <xf numFmtId="44" fontId="21" fillId="0" borderId="67" xfId="6" applyFont="1" applyBorder="1" applyAlignment="1">
      <alignment horizontal="left" vertical="top" shrinkToFit="1"/>
    </xf>
    <xf numFmtId="0" fontId="20" fillId="0" borderId="33" xfId="0" applyFont="1" applyFill="1" applyBorder="1" applyAlignment="1">
      <alignment horizontal="left" vertical="top" wrapText="1"/>
    </xf>
    <xf numFmtId="0" fontId="20" fillId="0" borderId="34" xfId="0" applyFont="1" applyFill="1" applyBorder="1" applyAlignment="1">
      <alignment horizontal="left" vertical="top" wrapText="1"/>
    </xf>
    <xf numFmtId="0" fontId="21" fillId="0" borderId="0" xfId="0" applyFont="1" applyFill="1" applyBorder="1" applyAlignment="1">
      <alignment horizontal="center" vertical="top"/>
    </xf>
    <xf numFmtId="44" fontId="21" fillId="0" borderId="106" xfId="6" applyFont="1" applyBorder="1" applyAlignment="1">
      <alignment horizontal="left" vertical="top" shrinkToFit="1"/>
    </xf>
    <xf numFmtId="0" fontId="10" fillId="0" borderId="13" xfId="0" applyFont="1" applyFill="1" applyBorder="1" applyAlignment="1">
      <alignment horizontal="left" vertical="top" wrapText="1"/>
    </xf>
    <xf numFmtId="0" fontId="10" fillId="0" borderId="15" xfId="0" applyFont="1" applyFill="1" applyBorder="1" applyAlignment="1">
      <alignment horizontal="left" vertical="top" wrapText="1"/>
    </xf>
    <xf numFmtId="0" fontId="0" fillId="0" borderId="33" xfId="0" applyFill="1" applyBorder="1" applyAlignment="1">
      <alignment horizontal="left" vertical="top"/>
    </xf>
    <xf numFmtId="0" fontId="0" fillId="0" borderId="34" xfId="0" applyFill="1" applyBorder="1" applyAlignment="1">
      <alignment horizontal="left" vertical="top"/>
    </xf>
    <xf numFmtId="0" fontId="9" fillId="0" borderId="13" xfId="0" applyFont="1" applyFill="1" applyBorder="1" applyAlignment="1">
      <alignment horizontal="left" vertical="top" wrapText="1"/>
    </xf>
    <xf numFmtId="0" fontId="9" fillId="0" borderId="15" xfId="0" applyFont="1" applyFill="1" applyBorder="1" applyAlignment="1">
      <alignment horizontal="left" vertical="top" wrapText="1"/>
    </xf>
    <xf numFmtId="0" fontId="5" fillId="0" borderId="13" xfId="0" applyFont="1" applyFill="1" applyBorder="1" applyAlignment="1">
      <alignment horizontal="left" vertical="top" wrapText="1"/>
    </xf>
    <xf numFmtId="0" fontId="0" fillId="0" borderId="47" xfId="0" applyFill="1" applyBorder="1" applyAlignment="1">
      <alignment horizontal="left" vertical="center" wrapText="1"/>
    </xf>
    <xf numFmtId="0" fontId="0" fillId="0" borderId="3" xfId="0" applyFill="1" applyBorder="1" applyAlignment="1">
      <alignment horizontal="left" vertical="center" wrapText="1"/>
    </xf>
    <xf numFmtId="0" fontId="0" fillId="0" borderId="48" xfId="0" applyFill="1" applyBorder="1" applyAlignment="1">
      <alignment horizontal="left" vertical="center" wrapText="1"/>
    </xf>
    <xf numFmtId="0" fontId="28" fillId="15" borderId="16" xfId="0" applyFont="1" applyFill="1" applyBorder="1" applyAlignment="1">
      <alignment horizontal="center" vertical="top" wrapText="1"/>
    </xf>
    <xf numFmtId="0" fontId="28" fillId="15" borderId="17" xfId="0" applyFont="1" applyFill="1" applyBorder="1" applyAlignment="1">
      <alignment horizontal="center" vertical="top" wrapText="1"/>
    </xf>
    <xf numFmtId="0" fontId="28" fillId="15" borderId="18" xfId="0" applyFont="1" applyFill="1" applyBorder="1" applyAlignment="1">
      <alignment horizontal="center" vertical="top" wrapText="1"/>
    </xf>
    <xf numFmtId="0" fontId="9" fillId="0" borderId="0" xfId="0" applyFont="1" applyFill="1" applyBorder="1" applyAlignment="1">
      <alignment horizontal="left" vertical="top" wrapText="1"/>
    </xf>
    <xf numFmtId="0" fontId="9" fillId="0" borderId="19" xfId="0" applyFont="1" applyFill="1" applyBorder="1" applyAlignment="1">
      <alignment horizontal="left" vertical="top" wrapText="1"/>
    </xf>
    <xf numFmtId="0" fontId="5" fillId="0" borderId="0" xfId="0" applyFont="1" applyFill="1" applyBorder="1" applyAlignment="1">
      <alignment horizontal="left" vertical="top" wrapText="1"/>
    </xf>
    <xf numFmtId="0" fontId="0" fillId="0" borderId="58" xfId="0" applyFill="1" applyBorder="1" applyAlignment="1">
      <alignment horizontal="center" wrapText="1"/>
    </xf>
    <xf numFmtId="0" fontId="0" fillId="0" borderId="59" xfId="0" applyFill="1" applyBorder="1" applyAlignment="1">
      <alignment horizontal="center" wrapText="1"/>
    </xf>
    <xf numFmtId="0" fontId="0" fillId="0" borderId="60" xfId="0" applyFill="1" applyBorder="1" applyAlignment="1">
      <alignment horizontal="center" wrapText="1"/>
    </xf>
    <xf numFmtId="0" fontId="9" fillId="0" borderId="1"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42" xfId="0" applyFont="1" applyFill="1" applyBorder="1" applyAlignment="1">
      <alignment horizontal="left" vertical="center" wrapText="1" indent="2"/>
    </xf>
    <xf numFmtId="0" fontId="9" fillId="0" borderId="44" xfId="0" applyFont="1" applyFill="1" applyBorder="1" applyAlignment="1">
      <alignment horizontal="left" vertical="center" wrapText="1" indent="2"/>
    </xf>
    <xf numFmtId="0" fontId="5" fillId="0" borderId="10" xfId="0" applyFont="1" applyFill="1" applyBorder="1" applyAlignment="1">
      <alignment horizontal="left" vertical="top" wrapText="1"/>
    </xf>
    <xf numFmtId="0" fontId="5" fillId="0" borderId="40" xfId="0" applyFont="1" applyFill="1" applyBorder="1" applyAlignment="1">
      <alignment horizontal="left" vertical="top" wrapText="1"/>
    </xf>
    <xf numFmtId="0" fontId="9" fillId="0" borderId="39"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41" xfId="0" applyFont="1" applyFill="1" applyBorder="1" applyAlignment="1">
      <alignment horizontal="left" vertical="top" wrapText="1"/>
    </xf>
    <xf numFmtId="0" fontId="9" fillId="0" borderId="43" xfId="0" applyFont="1" applyFill="1" applyBorder="1" applyAlignment="1">
      <alignment horizontal="left" vertical="top" wrapText="1"/>
    </xf>
    <xf numFmtId="0" fontId="9" fillId="0" borderId="2" xfId="0" applyFont="1" applyFill="1" applyBorder="1" applyAlignment="1">
      <alignment horizontal="center" vertical="top" wrapText="1"/>
    </xf>
    <xf numFmtId="0" fontId="9" fillId="0" borderId="4" xfId="0" applyFont="1" applyFill="1" applyBorder="1" applyAlignment="1">
      <alignment horizontal="center" vertical="top" wrapText="1"/>
    </xf>
    <xf numFmtId="0" fontId="9" fillId="0" borderId="9" xfId="0" applyFont="1" applyFill="1" applyBorder="1" applyAlignment="1">
      <alignment horizontal="center" vertical="top" wrapText="1"/>
    </xf>
    <xf numFmtId="0" fontId="9" fillId="0" borderId="11" xfId="0" applyFont="1" applyFill="1" applyBorder="1" applyAlignment="1">
      <alignment horizontal="center" vertical="top" wrapText="1"/>
    </xf>
    <xf numFmtId="0" fontId="9" fillId="0" borderId="13" xfId="0" applyFont="1" applyFill="1" applyBorder="1" applyAlignment="1">
      <alignment horizontal="center" vertical="top" wrapText="1"/>
    </xf>
    <xf numFmtId="0" fontId="9" fillId="0" borderId="14" xfId="0" applyFont="1" applyFill="1" applyBorder="1" applyAlignment="1">
      <alignment horizontal="center" vertical="top" wrapText="1"/>
    </xf>
    <xf numFmtId="0" fontId="9" fillId="0" borderId="15" xfId="0" applyFont="1" applyFill="1" applyBorder="1" applyAlignment="1">
      <alignment horizontal="center" vertical="top" wrapText="1"/>
    </xf>
    <xf numFmtId="0" fontId="0" fillId="0" borderId="19" xfId="0" applyBorder="1" applyAlignment="1">
      <alignment horizontal="center"/>
    </xf>
    <xf numFmtId="0" fontId="0" fillId="0" borderId="0"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13" fillId="0" borderId="19" xfId="0" applyFont="1" applyBorder="1" applyAlignment="1">
      <alignment horizontal="center"/>
    </xf>
    <xf numFmtId="0" fontId="13" fillId="0" borderId="0" xfId="0" applyFont="1" applyBorder="1" applyAlignment="1">
      <alignment horizontal="center"/>
    </xf>
    <xf numFmtId="0" fontId="13" fillId="0" borderId="56" xfId="3" applyFont="1" applyFill="1" applyBorder="1" applyAlignment="1">
      <alignment horizontal="left" vertical="center" wrapText="1"/>
    </xf>
    <xf numFmtId="0" fontId="13" fillId="0" borderId="22" xfId="3" applyFont="1" applyFill="1" applyBorder="1" applyAlignment="1">
      <alignment horizontal="left" vertical="center" wrapText="1"/>
    </xf>
    <xf numFmtId="0" fontId="12" fillId="0" borderId="56" xfId="3" applyFont="1" applyFill="1" applyBorder="1" applyAlignment="1">
      <alignment horizontal="center" vertical="center"/>
    </xf>
    <xf numFmtId="0" fontId="12" fillId="0" borderId="36" xfId="3" applyFont="1" applyFill="1" applyBorder="1" applyAlignment="1">
      <alignment horizontal="center" vertical="center"/>
    </xf>
    <xf numFmtId="0" fontId="12" fillId="0" borderId="22" xfId="3" applyFont="1" applyFill="1" applyBorder="1" applyAlignment="1">
      <alignment horizontal="center" vertical="center"/>
    </xf>
    <xf numFmtId="0" fontId="13" fillId="16" borderId="56" xfId="3" applyFont="1" applyFill="1" applyBorder="1" applyAlignment="1">
      <alignment horizontal="left" vertical="center"/>
    </xf>
    <xf numFmtId="0" fontId="13" fillId="16" borderId="22" xfId="3" applyFont="1" applyFill="1" applyBorder="1" applyAlignment="1">
      <alignment horizontal="left" vertical="center"/>
    </xf>
    <xf numFmtId="0" fontId="13" fillId="0" borderId="56" xfId="3" applyFont="1" applyFill="1" applyBorder="1" applyAlignment="1">
      <alignment horizontal="center" vertical="center"/>
    </xf>
    <xf numFmtId="0" fontId="13" fillId="0" borderId="36" xfId="3" applyFont="1" applyFill="1" applyBorder="1" applyAlignment="1">
      <alignment horizontal="center" vertical="center"/>
    </xf>
    <xf numFmtId="0" fontId="13" fillId="0" borderId="22" xfId="3" applyFont="1" applyFill="1" applyBorder="1" applyAlignment="1">
      <alignment horizontal="center" vertical="center"/>
    </xf>
    <xf numFmtId="0" fontId="30" fillId="15" borderId="121" xfId="3" applyFont="1" applyFill="1" applyBorder="1" applyAlignment="1">
      <alignment horizontal="center" vertical="center" wrapText="1"/>
    </xf>
    <xf numFmtId="0" fontId="30" fillId="15" borderId="119" xfId="3" applyFont="1" applyFill="1" applyBorder="1" applyAlignment="1">
      <alignment horizontal="center" vertical="center" wrapText="1"/>
    </xf>
    <xf numFmtId="0" fontId="12" fillId="14" borderId="56" xfId="3" applyFont="1" applyFill="1" applyBorder="1" applyAlignment="1">
      <alignment horizontal="center" vertical="center"/>
    </xf>
    <xf numFmtId="0" fontId="12" fillId="14" borderId="36" xfId="3" applyFont="1" applyFill="1" applyBorder="1" applyAlignment="1">
      <alignment horizontal="center" vertical="center"/>
    </xf>
    <xf numFmtId="0" fontId="12" fillId="14" borderId="22" xfId="3" applyFont="1" applyFill="1" applyBorder="1" applyAlignment="1">
      <alignment horizontal="center" vertical="center"/>
    </xf>
    <xf numFmtId="0" fontId="13" fillId="0" borderId="56" xfId="3" applyFont="1" applyFill="1" applyBorder="1" applyAlignment="1">
      <alignment horizontal="center" vertical="center" wrapText="1"/>
    </xf>
    <xf numFmtId="0" fontId="13" fillId="0" borderId="36" xfId="3" applyFont="1" applyFill="1" applyBorder="1" applyAlignment="1">
      <alignment horizontal="center" vertical="center" wrapText="1"/>
    </xf>
    <xf numFmtId="0" fontId="13" fillId="0" borderId="22" xfId="3" applyFont="1" applyFill="1" applyBorder="1" applyAlignment="1">
      <alignment horizontal="center" vertical="center" wrapText="1"/>
    </xf>
    <xf numFmtId="0" fontId="1" fillId="0" borderId="34" xfId="0" applyFont="1" applyBorder="1" applyAlignment="1">
      <alignment horizontal="center"/>
    </xf>
    <xf numFmtId="0" fontId="0" fillId="0" borderId="35" xfId="0" applyBorder="1" applyAlignment="1">
      <alignment horizontal="center"/>
    </xf>
    <xf numFmtId="0" fontId="1" fillId="0" borderId="0" xfId="0" applyFont="1" applyBorder="1" applyAlignment="1">
      <alignment horizontal="center"/>
    </xf>
    <xf numFmtId="0" fontId="0" fillId="0" borderId="20" xfId="0" applyBorder="1" applyAlignment="1">
      <alignment horizontal="center"/>
    </xf>
    <xf numFmtId="0" fontId="1" fillId="0" borderId="0" xfId="0" applyFont="1" applyFill="1" applyBorder="1" applyAlignment="1">
      <alignment horizontal="center" vertical="top"/>
    </xf>
    <xf numFmtId="0" fontId="0" fillId="0" borderId="0" xfId="0" applyFill="1" applyBorder="1" applyAlignment="1">
      <alignment horizontal="center" vertical="top"/>
    </xf>
    <xf numFmtId="0" fontId="0" fillId="0" borderId="20" xfId="0" applyFill="1" applyBorder="1" applyAlignment="1">
      <alignment horizontal="center" vertical="top"/>
    </xf>
    <xf numFmtId="0" fontId="32" fillId="15" borderId="16" xfId="0" applyFont="1" applyFill="1" applyBorder="1" applyAlignment="1">
      <alignment horizontal="center" vertical="center"/>
    </xf>
    <xf numFmtId="0" fontId="32" fillId="15" borderId="17" xfId="0" applyFont="1" applyFill="1" applyBorder="1" applyAlignment="1">
      <alignment horizontal="center" vertical="center"/>
    </xf>
    <xf numFmtId="0" fontId="32" fillId="15" borderId="18" xfId="0" applyFont="1" applyFill="1" applyBorder="1" applyAlignment="1">
      <alignment horizontal="center" vertical="center"/>
    </xf>
    <xf numFmtId="0" fontId="32" fillId="15" borderId="19" xfId="0" applyFont="1" applyFill="1" applyBorder="1" applyAlignment="1">
      <alignment horizontal="center" vertical="center"/>
    </xf>
    <xf numFmtId="0" fontId="32" fillId="15" borderId="0" xfId="0" applyFont="1" applyFill="1" applyBorder="1" applyAlignment="1">
      <alignment horizontal="center" vertical="center"/>
    </xf>
    <xf numFmtId="0" fontId="32" fillId="15" borderId="20" xfId="0" applyFont="1" applyFill="1" applyBorder="1" applyAlignment="1">
      <alignment horizontal="center" vertical="center"/>
    </xf>
    <xf numFmtId="0" fontId="12" fillId="14" borderId="124" xfId="0" applyFont="1" applyFill="1" applyBorder="1" applyAlignment="1">
      <alignment horizontal="center" vertical="center"/>
    </xf>
    <xf numFmtId="0" fontId="12" fillId="14" borderId="126" xfId="0" applyFont="1" applyFill="1" applyBorder="1" applyAlignment="1">
      <alignment horizontal="center" vertical="center"/>
    </xf>
    <xf numFmtId="0" fontId="12" fillId="14" borderId="125" xfId="0" applyFont="1" applyFill="1" applyBorder="1" applyAlignment="1">
      <alignment horizontal="center" vertical="center"/>
    </xf>
    <xf numFmtId="0" fontId="12" fillId="14" borderId="119" xfId="0" applyFont="1" applyFill="1" applyBorder="1" applyAlignment="1">
      <alignment horizontal="center" vertical="center"/>
    </xf>
    <xf numFmtId="0" fontId="12" fillId="14" borderId="111" xfId="0" applyFont="1" applyFill="1" applyBorder="1" applyAlignment="1">
      <alignment horizontal="center" vertical="center" wrapText="1"/>
    </xf>
    <xf numFmtId="0" fontId="12" fillId="14" borderId="112" xfId="0" applyFont="1" applyFill="1" applyBorder="1" applyAlignment="1">
      <alignment horizontal="center" vertical="center" wrapText="1"/>
    </xf>
    <xf numFmtId="0" fontId="33" fillId="0" borderId="21" xfId="0" applyFont="1" applyBorder="1" applyAlignment="1">
      <alignment horizontal="center"/>
    </xf>
    <xf numFmtId="0" fontId="34" fillId="18" borderId="21" xfId="12" applyFont="1" applyFill="1" applyBorder="1" applyAlignment="1">
      <alignment horizontal="center" vertical="center" wrapText="1"/>
    </xf>
    <xf numFmtId="0" fontId="35" fillId="19" borderId="21" xfId="12" applyFont="1" applyFill="1" applyBorder="1" applyAlignment="1">
      <alignment horizontal="center" vertical="center" wrapText="1"/>
    </xf>
    <xf numFmtId="9" fontId="35" fillId="19" borderId="21" xfId="12" applyNumberFormat="1" applyFont="1" applyFill="1" applyBorder="1" applyAlignment="1">
      <alignment horizontal="center" vertical="center" wrapText="1"/>
    </xf>
    <xf numFmtId="0" fontId="35" fillId="19" borderId="21" xfId="12" applyFont="1" applyFill="1" applyBorder="1" applyAlignment="1">
      <alignment horizontal="center" vertical="center" wrapText="1"/>
    </xf>
    <xf numFmtId="10" fontId="37" fillId="0" borderId="21" xfId="12" applyNumberFormat="1" applyFont="1" applyBorder="1" applyAlignment="1">
      <alignment horizontal="left" vertical="center" wrapText="1"/>
    </xf>
    <xf numFmtId="10" fontId="14" fillId="0" borderId="21" xfId="12" applyNumberFormat="1" applyFont="1" applyBorder="1" applyAlignment="1">
      <alignment horizontal="center" vertical="center"/>
    </xf>
    <xf numFmtId="9" fontId="37" fillId="0" borderId="21" xfId="13" applyNumberFormat="1" applyFont="1" applyBorder="1" applyAlignment="1">
      <alignment horizontal="center" vertical="center"/>
    </xf>
    <xf numFmtId="9" fontId="37" fillId="0" borderId="21" xfId="13" applyNumberFormat="1" applyFont="1" applyBorder="1" applyAlignment="1">
      <alignment horizontal="center" vertical="center"/>
    </xf>
    <xf numFmtId="171" fontId="37" fillId="0" borderId="21" xfId="13" applyNumberFormat="1" applyFont="1" applyBorder="1" applyAlignment="1">
      <alignment horizontal="center" vertical="center"/>
    </xf>
    <xf numFmtId="10" fontId="37" fillId="0" borderId="21" xfId="13" applyNumberFormat="1" applyFont="1" applyBorder="1" applyAlignment="1">
      <alignment horizontal="center" vertical="center"/>
    </xf>
    <xf numFmtId="10" fontId="37" fillId="0" borderId="21" xfId="13" applyNumberFormat="1" applyFont="1" applyFill="1" applyBorder="1" applyAlignment="1">
      <alignment horizontal="center" vertical="center"/>
    </xf>
    <xf numFmtId="10" fontId="37" fillId="0" borderId="21" xfId="13" applyNumberFormat="1" applyFont="1" applyFill="1" applyBorder="1" applyAlignment="1">
      <alignment horizontal="center" vertical="center"/>
    </xf>
    <xf numFmtId="10" fontId="37" fillId="0" borderId="21" xfId="12" applyNumberFormat="1" applyFont="1" applyFill="1" applyBorder="1" applyAlignment="1">
      <alignment horizontal="center" vertical="center"/>
    </xf>
    <xf numFmtId="10" fontId="37" fillId="0" borderId="21" xfId="12" applyNumberFormat="1" applyFont="1" applyFill="1" applyBorder="1" applyAlignment="1">
      <alignment horizontal="center" vertical="center"/>
    </xf>
    <xf numFmtId="10" fontId="37" fillId="0" borderId="21" xfId="13" applyNumberFormat="1" applyFont="1" applyBorder="1" applyAlignment="1">
      <alignment horizontal="center" vertical="center"/>
    </xf>
    <xf numFmtId="10" fontId="37" fillId="0" borderId="21" xfId="12" applyNumberFormat="1" applyFont="1" applyBorder="1" applyAlignment="1">
      <alignment horizontal="center" vertical="center"/>
    </xf>
    <xf numFmtId="10" fontId="14" fillId="0" borderId="21" xfId="13" applyNumberFormat="1" applyFont="1" applyBorder="1" applyAlignment="1">
      <alignment horizontal="center" vertical="center"/>
    </xf>
    <xf numFmtId="10" fontId="14" fillId="0" borderId="21" xfId="13" applyNumberFormat="1" applyFont="1" applyBorder="1" applyAlignment="1">
      <alignment horizontal="center" vertical="center"/>
    </xf>
    <xf numFmtId="171" fontId="14" fillId="0" borderId="21" xfId="13" applyNumberFormat="1" applyFont="1" applyBorder="1" applyAlignment="1">
      <alignment horizontal="center" vertical="center"/>
    </xf>
    <xf numFmtId="10" fontId="37" fillId="20" borderId="21" xfId="13" applyNumberFormat="1" applyFont="1" applyFill="1" applyBorder="1" applyAlignment="1">
      <alignment horizontal="center" vertical="center"/>
    </xf>
    <xf numFmtId="10" fontId="37" fillId="20" borderId="21" xfId="13" applyNumberFormat="1" applyFont="1" applyFill="1" applyBorder="1" applyAlignment="1">
      <alignment horizontal="center" vertical="center"/>
    </xf>
    <xf numFmtId="10" fontId="37" fillId="0" borderId="21" xfId="1" applyNumberFormat="1" applyFont="1" applyBorder="1" applyAlignment="1">
      <alignment horizontal="center" vertical="center"/>
    </xf>
    <xf numFmtId="10" fontId="37" fillId="0" borderId="21" xfId="1" applyNumberFormat="1" applyFont="1" applyBorder="1" applyAlignment="1">
      <alignment horizontal="center" vertical="center"/>
    </xf>
    <xf numFmtId="0" fontId="37" fillId="0" borderId="21" xfId="12" applyFont="1" applyBorder="1" applyAlignment="1">
      <alignment horizontal="left" vertical="center"/>
    </xf>
    <xf numFmtId="0" fontId="14" fillId="0" borderId="21" xfId="12" applyFont="1" applyBorder="1" applyAlignment="1">
      <alignment horizontal="center" vertical="center"/>
    </xf>
    <xf numFmtId="0" fontId="39" fillId="18" borderId="21" xfId="12" applyFont="1" applyFill="1" applyBorder="1" applyAlignment="1">
      <alignment horizontal="center" vertical="center"/>
    </xf>
    <xf numFmtId="0" fontId="14" fillId="18" borderId="21" xfId="12" applyFont="1" applyFill="1" applyBorder="1" applyAlignment="1">
      <alignment horizontal="center" vertical="center"/>
    </xf>
    <xf numFmtId="0" fontId="37" fillId="0" borderId="21" xfId="12" applyFont="1" applyBorder="1" applyAlignment="1">
      <alignment horizontal="right" vertical="center"/>
    </xf>
    <xf numFmtId="10" fontId="40" fillId="0" borderId="21" xfId="13" applyNumberFormat="1" applyFont="1" applyBorder="1" applyAlignment="1">
      <alignment horizontal="center" vertical="center"/>
    </xf>
    <xf numFmtId="10" fontId="40" fillId="0" borderId="21" xfId="13" applyNumberFormat="1" applyFont="1" applyBorder="1" applyAlignment="1">
      <alignment horizontal="center" vertical="center"/>
    </xf>
    <xf numFmtId="171" fontId="14" fillId="0" borderId="21" xfId="13" applyNumberFormat="1" applyFont="1" applyBorder="1" applyAlignment="1">
      <alignment horizontal="center" vertical="center"/>
    </xf>
    <xf numFmtId="10" fontId="14" fillId="20" borderId="21" xfId="13" applyNumberFormat="1" applyFont="1" applyFill="1" applyBorder="1" applyAlignment="1">
      <alignment horizontal="center" vertical="center"/>
    </xf>
    <xf numFmtId="0" fontId="37" fillId="20" borderId="21" xfId="12" applyFont="1" applyFill="1" applyBorder="1" applyAlignment="1">
      <alignment horizontal="left" vertical="center" wrapText="1"/>
    </xf>
    <xf numFmtId="0" fontId="0" fillId="0" borderId="28" xfId="0" applyBorder="1" applyAlignment="1">
      <alignment horizontal="center"/>
    </xf>
    <xf numFmtId="0" fontId="0" fillId="0" borderId="36" xfId="0" applyBorder="1" applyAlignment="1">
      <alignment horizontal="center"/>
    </xf>
    <xf numFmtId="0" fontId="0" fillId="0" borderId="22" xfId="0" applyBorder="1" applyAlignment="1">
      <alignment horizontal="center"/>
    </xf>
    <xf numFmtId="0" fontId="35" fillId="21" borderId="21" xfId="12" applyFont="1" applyFill="1" applyBorder="1" applyAlignment="1">
      <alignment horizontal="center" vertical="center" wrapText="1"/>
    </xf>
    <xf numFmtId="0" fontId="35" fillId="21" borderId="21" xfId="12" applyFont="1" applyFill="1" applyBorder="1" applyAlignment="1">
      <alignment horizontal="center" vertical="center"/>
    </xf>
    <xf numFmtId="9" fontId="35" fillId="21" borderId="21" xfId="12" applyNumberFormat="1" applyFont="1" applyFill="1" applyBorder="1" applyAlignment="1">
      <alignment horizontal="center" vertical="center" wrapText="1"/>
    </xf>
    <xf numFmtId="0" fontId="35" fillId="21" borderId="21" xfId="12" applyFont="1" applyFill="1" applyBorder="1" applyAlignment="1">
      <alignment horizontal="center" vertical="center" wrapText="1"/>
    </xf>
    <xf numFmtId="10" fontId="37" fillId="22" borderId="21" xfId="13" applyNumberFormat="1" applyFont="1" applyFill="1" applyBorder="1" applyAlignment="1">
      <alignment horizontal="center" vertical="center"/>
    </xf>
    <xf numFmtId="10" fontId="14" fillId="22" borderId="21" xfId="13" applyNumberFormat="1" applyFont="1" applyFill="1" applyBorder="1" applyAlignment="1">
      <alignment horizontal="center" vertical="center"/>
    </xf>
    <xf numFmtId="0" fontId="37" fillId="22" borderId="21" xfId="12" applyFont="1" applyFill="1" applyBorder="1" applyAlignment="1">
      <alignment horizontal="justify" vertical="center" wrapText="1"/>
    </xf>
    <xf numFmtId="0" fontId="2" fillId="3" borderId="14" xfId="0" applyFont="1" applyFill="1" applyBorder="1" applyAlignment="1">
      <alignment vertical="center" wrapText="1"/>
    </xf>
    <xf numFmtId="0" fontId="3" fillId="4" borderId="10" xfId="0" applyFont="1" applyFill="1" applyBorder="1" applyAlignment="1">
      <alignment horizontal="left" vertical="center" wrapText="1"/>
    </xf>
    <xf numFmtId="10" fontId="7" fillId="23" borderId="13" xfId="0" applyNumberFormat="1" applyFont="1" applyFill="1" applyBorder="1" applyAlignment="1">
      <alignment horizontal="center" vertical="center" shrinkToFit="1"/>
    </xf>
    <xf numFmtId="10" fontId="7" fillId="23" borderId="53" xfId="0" applyNumberFormat="1" applyFont="1" applyFill="1" applyBorder="1" applyAlignment="1">
      <alignment horizontal="center" vertical="center" shrinkToFit="1"/>
    </xf>
    <xf numFmtId="0" fontId="5" fillId="0" borderId="32" xfId="0" applyFont="1" applyFill="1" applyBorder="1" applyAlignment="1">
      <alignment horizontal="center" vertical="center" wrapText="1"/>
    </xf>
    <xf numFmtId="17" fontId="5" fillId="0" borderId="21" xfId="0" applyNumberFormat="1" applyFont="1" applyFill="1" applyBorder="1" applyAlignment="1">
      <alignment horizontal="center" vertical="center" wrapText="1"/>
    </xf>
    <xf numFmtId="0" fontId="2" fillId="2" borderId="28" xfId="0" applyFont="1" applyFill="1" applyBorder="1" applyAlignment="1">
      <alignment horizontal="left" vertical="center" wrapText="1"/>
    </xf>
    <xf numFmtId="0" fontId="2" fillId="2" borderId="36"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4" fillId="13" borderId="21" xfId="0" applyFont="1" applyFill="1" applyBorder="1" applyAlignment="1">
      <alignment horizontal="right" vertical="center" wrapText="1"/>
    </xf>
    <xf numFmtId="10" fontId="2" fillId="23" borderId="28" xfId="0" applyNumberFormat="1" applyFont="1" applyFill="1" applyBorder="1" applyAlignment="1">
      <alignment horizontal="center" vertical="center" wrapText="1"/>
    </xf>
    <xf numFmtId="10" fontId="2" fillId="23" borderId="36" xfId="0" applyNumberFormat="1" applyFont="1" applyFill="1" applyBorder="1" applyAlignment="1">
      <alignment horizontal="center" vertical="center" wrapText="1"/>
    </xf>
    <xf numFmtId="10" fontId="2" fillId="23" borderId="22" xfId="0" applyNumberFormat="1" applyFont="1" applyFill="1" applyBorder="1" applyAlignment="1">
      <alignment horizontal="center" vertical="center" wrapText="1"/>
    </xf>
    <xf numFmtId="0" fontId="2" fillId="3" borderId="54" xfId="0" applyFont="1" applyFill="1" applyBorder="1" applyAlignment="1">
      <alignment vertical="center" wrapText="1"/>
    </xf>
    <xf numFmtId="0" fontId="2" fillId="3" borderId="21" xfId="0" applyFont="1" applyFill="1" applyBorder="1" applyAlignment="1">
      <alignment horizontal="right" vertical="center" wrapText="1"/>
    </xf>
    <xf numFmtId="0" fontId="0" fillId="0" borderId="32" xfId="0" applyFill="1" applyBorder="1" applyAlignment="1">
      <alignment horizontal="center" vertical="top"/>
    </xf>
    <xf numFmtId="0" fontId="2" fillId="0" borderId="0" xfId="0" applyFont="1" applyFill="1" applyBorder="1" applyAlignment="1">
      <alignment wrapText="1"/>
    </xf>
    <xf numFmtId="0" fontId="2" fillId="0" borderId="20" xfId="0" applyFont="1" applyFill="1" applyBorder="1" applyAlignment="1">
      <alignment wrapText="1"/>
    </xf>
    <xf numFmtId="0" fontId="2" fillId="0" borderId="32" xfId="0" applyFont="1" applyFill="1" applyBorder="1" applyAlignment="1">
      <alignment horizontal="center" vertical="top" wrapText="1"/>
    </xf>
    <xf numFmtId="0" fontId="5" fillId="0" borderId="19" xfId="0" applyFont="1" applyFill="1" applyBorder="1" applyAlignment="1">
      <alignment wrapText="1"/>
    </xf>
    <xf numFmtId="0" fontId="5" fillId="0" borderId="0" xfId="0" applyFont="1" applyFill="1" applyBorder="1" applyAlignment="1">
      <alignment wrapText="1"/>
    </xf>
    <xf numFmtId="0" fontId="5" fillId="0" borderId="37" xfId="0" applyFont="1" applyFill="1" applyBorder="1" applyAlignment="1">
      <alignment horizontal="center" wrapText="1"/>
    </xf>
    <xf numFmtId="0" fontId="5" fillId="0" borderId="32" xfId="0" applyFont="1" applyFill="1" applyBorder="1" applyAlignment="1">
      <alignment horizontal="center" wrapText="1"/>
    </xf>
    <xf numFmtId="0" fontId="5" fillId="0" borderId="20" xfId="0" applyFont="1" applyFill="1" applyBorder="1" applyAlignment="1">
      <alignment vertical="center" wrapText="1"/>
    </xf>
    <xf numFmtId="0" fontId="5" fillId="0" borderId="129" xfId="0" applyFont="1" applyFill="1" applyBorder="1" applyAlignment="1">
      <alignment horizontal="center" vertical="center" wrapText="1"/>
    </xf>
    <xf numFmtId="0" fontId="21" fillId="0" borderId="0" xfId="0" applyFont="1" applyFill="1" applyBorder="1" applyAlignment="1">
      <alignment wrapText="1"/>
    </xf>
    <xf numFmtId="0" fontId="21" fillId="0" borderId="32" xfId="0" applyFont="1" applyFill="1" applyBorder="1" applyAlignment="1">
      <alignment horizontal="center" vertical="top" wrapText="1"/>
    </xf>
    <xf numFmtId="0" fontId="2" fillId="0" borderId="129" xfId="0" applyFont="1" applyFill="1" applyBorder="1" applyAlignment="1">
      <alignment horizontal="center" vertical="top" wrapText="1"/>
    </xf>
  </cellXfs>
  <cellStyles count="14">
    <cellStyle name="Moeda" xfId="6" builtinId="4"/>
    <cellStyle name="Moeda 4" xfId="7" xr:uid="{00000000-0005-0000-0000-000001000000}"/>
    <cellStyle name="Normal" xfId="0" builtinId="0"/>
    <cellStyle name="Normal 10" xfId="12" xr:uid="{AAB52C3C-B5A9-4DCF-AD55-0A35A765EC57}"/>
    <cellStyle name="Normal 2 2" xfId="3" xr:uid="{00000000-0005-0000-0000-000003000000}"/>
    <cellStyle name="Normal 2 2 2" xfId="10" xr:uid="{00000000-0005-0000-0000-000004000000}"/>
    <cellStyle name="Normal 7" xfId="8" xr:uid="{00000000-0005-0000-0000-000005000000}"/>
    <cellStyle name="Normal 9" xfId="4" xr:uid="{00000000-0005-0000-0000-000006000000}"/>
    <cellStyle name="Porcentagem" xfId="1" builtinId="5"/>
    <cellStyle name="Porcentagem 2" xfId="2" xr:uid="{00000000-0005-0000-0000-000008000000}"/>
    <cellStyle name="Porcentagem 2 2" xfId="13" xr:uid="{54F31A66-B5A2-43A2-B735-0C4E7EC42B67}"/>
    <cellStyle name="Porcentagem 9" xfId="9" xr:uid="{00000000-0005-0000-0000-000009000000}"/>
    <cellStyle name="Separador de milhares 5" xfId="5" xr:uid="{00000000-0005-0000-0000-00000A000000}"/>
    <cellStyle name="Vírgula 2" xfId="11"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LDIR%20DOCUMENTOS/Documentos/PREFEITURA%20BRAS&#205;LIA%20DE%20MINAS/&#193;REA%20DE%20VIV&#202;NCIA%20EST&#193;DIO%20NECO%20TOT&#212;/&#193;REA%20DE%20VIV&#202;NCIA%20NO%20EST&#193;DIO%20MUNICIPAL%20NECO%20TOT&#212;/PLANILHAS%20E%20MEMORIAL/202107_SETOP_NORTE_COM_DESONERACAO.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LDIR%20DOCUMENTOS/Documentos/PREFEITURA%20BRAS&#205;LIA%20DE%20MINAS/PRA&#199;A%20RODOVI&#193;RIA/PRA&#199;A%20DO%20TERMINAL%20RODOVI&#193;RIO/EDIT&#193;VEIS/202110_Planilha_Precos_SETOP_Norte_COM_DESONERACAO.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JETOS%20FINALIZADOS/PROJETO%20998%20-%20URBANIZA&#199;&#195;O%20AVENIDA%20SANITARIA%20BRASILIA%20DE%20MINAS/1-%20PROJETO%20DOS%20TR%203%20E%204/PLANILHA/PLAN%20DECK%20MAD%20PLAST%20COMP%20C-ELE%20TR3-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MUNICÍPIOS"/>
      <sheetName val="INSTRUÇÕES"/>
      <sheetName val="ENCARGOS SOCIAIS EDIFICAÇÕES"/>
      <sheetName val="ENCARGOS SOCIAIS RODOVIÁRIAS"/>
      <sheetName val="BDI-SEM DESONERAÇÃO"/>
      <sheetName val="BDI-COM DESONERAÇÃO"/>
      <sheetName val="BDI - PROJETO-CONSULTORIA "/>
      <sheetName val="RODOVIÁRIAS"/>
      <sheetName val="EDIFICAÇÕES"/>
      <sheetName val="PROJETOS"/>
    </sheetNames>
    <sheetDataSet>
      <sheetData sheetId="0"/>
      <sheetData sheetId="1"/>
      <sheetData sheetId="2"/>
      <sheetData sheetId="3"/>
      <sheetData sheetId="4"/>
      <sheetData sheetId="5"/>
      <sheetData sheetId="6"/>
      <sheetData sheetId="7"/>
      <sheetData sheetId="8"/>
      <sheetData sheetId="9">
        <row r="179">
          <cell r="A179" t="str">
            <v>ED-16660</v>
          </cell>
          <cell r="C179" t="str">
            <v>FORNECIMENTO E COLOCAÇÃO DE PLACA DE OBRA EM CHAPA GALVANIZADA #26, ESP. 0,45 MM, PLOTADA COM ADESIVO VINÍLICO, AFIXADA COM REBITES 4,8X40 MM, EM ESTRUTURA METÁLICA DE METALON 20X20 MM, ESP. 1,25 MM, INCLUSIVE SUPORTE EM EUCALIPTO AUTOCLAVADO PINTADO COM TINTA PVA DUAS (2) DEMÃOS</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MUNICÍPIOS"/>
      <sheetName val="INSTRUÇÕES"/>
      <sheetName val="ENCARGOS SOCIAIS RODOVIÁRIAS"/>
      <sheetName val="ENCARGOS SOCIAIS EDIFICAÇÕES"/>
      <sheetName val="BDI-SEM DESONERAÇÃO"/>
      <sheetName val="BDI-COM DESONERAÇÃO"/>
      <sheetName val="BDI - PROJETO-CONSULTORIA "/>
      <sheetName val="RODOVIÁRIAS"/>
      <sheetName val="EDIFICAÇÕES"/>
      <sheetName val="PROJETOS"/>
    </sheetNames>
    <sheetDataSet>
      <sheetData sheetId="0"/>
      <sheetData sheetId="1"/>
      <sheetData sheetId="2"/>
      <sheetData sheetId="3"/>
      <sheetData sheetId="4"/>
      <sheetData sheetId="5"/>
      <sheetData sheetId="6"/>
      <sheetData sheetId="7"/>
      <sheetData sheetId="8">
        <row r="675">
          <cell r="A675" t="str">
            <v>RO-51229</v>
          </cell>
          <cell r="C675" t="str">
            <v>PINTURA DE LIGAÇÃO (EXECUÇÃO E FORNECIMENTO DO MATERIAL BETUMINOSO, EXCLUSIVE TRANSPORTE DO MATERIAL BETUMINOSO)</v>
          </cell>
        </row>
        <row r="684">
          <cell r="A684" t="str">
            <v>RO-14019</v>
          </cell>
          <cell r="C684" t="str">
            <v>CONCRETO BETUMINOSO USINADO A QUENTE - CBUQ (EXECUÇÃO, INCLUINDO USINAGEM, APLICAÇÃO, ESPALHAMENTO E COMPACTAÇÃO, FORNECIMENTO DOS AGREGADOS E MATERIAL BETUMINOSO, EXCLUI TRANSPORTE DOS AGREGADOS E DO MATERIAL BETUMINOSO ATÉ USINA E DA MASSA PRONTA ATÉ A  PISTA)</v>
          </cell>
        </row>
        <row r="704">
          <cell r="A704" t="str">
            <v>RO-41212</v>
          </cell>
          <cell r="C704" t="str">
            <v>REMOÇÃO E CARGA DO REVESTIMENTO ASFALTICO EM PRÉ-MISTURADO OU CONCRETO BETUMINOSO USINADO A QUENTE</v>
          </cell>
        </row>
        <row r="716">
          <cell r="A716" t="str">
            <v>RO-42387</v>
          </cell>
          <cell r="C716" t="str">
            <v>REMOÇÃO DE BLOCOS SEXTAVADOS (BLOQUETES)</v>
          </cell>
        </row>
        <row r="764">
          <cell r="A764" t="str">
            <v>RO-41237</v>
          </cell>
          <cell r="C764" t="str">
            <v>LINHAS DE RESINA ACRILICA DE  0,6MM  DE ESPESSURA E LARGURA  = 0,10M (EXECUÇÃO, INCLUINDO PRÉ-MARCAÇÃO, FORNECIMENTO E TRANSPORTE DE TODOS OS MATERIAIS)</v>
          </cell>
        </row>
        <row r="768">
          <cell r="A768" t="str">
            <v>RO-41779</v>
          </cell>
          <cell r="C768" t="str">
            <v>SETAS, SIMBOLOS E DIZERES DE RESINA ACRÍLICA 0,6MM DE ESPESSURA (EXECUÇÃO, INCLUINDO PRÉ-MARCAÇÃO, FORNECIMENTO E TRANSPORTE DE TODOS OS MATERIAIS)</v>
          </cell>
        </row>
        <row r="811">
          <cell r="A811" t="str">
            <v>RO-42193</v>
          </cell>
          <cell r="C811" t="str">
            <v>PLACA DE AÇO CARBONO COM PELÍCULA REFLETIVA GRAU TÉCNICO TIPO I DA ABNT - PLACA RETANGULAR (EXECUÇÃO, INCLUINDO FORNECIMENTO E TRANSPORTE DE TODOS OS MATERIAIS, INCLUSIVE POSTE DE SUSTENTAÇÃO)</v>
          </cell>
        </row>
        <row r="934">
          <cell r="A934" t="str">
            <v>RO-41345</v>
          </cell>
          <cell r="C934" t="str">
            <v>TRANSPORTE DE AGREGADOS PARA CONSERVAÇÃO. DISTÂNCIA MÉDIA DE TRANSPORTE &lt;= 10,00 KM</v>
          </cell>
          <cell r="D934" t="str">
            <v>M3XKM</v>
          </cell>
        </row>
        <row r="957">
          <cell r="A957" t="str">
            <v>RO-14038</v>
          </cell>
          <cell r="C957" t="str">
            <v>TRANSPORTE DE CONCRETO BETUMINOSO USINADO A QUENTE. DISTÂNCIA MÉDIA DE TRANSPORTE &gt; 50,00 KM (VOLUME COMPACTADO)</v>
          </cell>
          <cell r="D957" t="str">
            <v>M3XKM</v>
          </cell>
        </row>
      </sheetData>
      <sheetData sheetId="9">
        <row r="151">
          <cell r="A151" t="str">
            <v>ED-48472</v>
          </cell>
          <cell r="C151" t="str">
            <v>REMOÇÃO DE MEIO-FIO PRÉ-MOLDADO DE CONCRETO INCLUSIVE CARGA</v>
          </cell>
        </row>
        <row r="262">
          <cell r="A262" t="str">
            <v>ED-51100</v>
          </cell>
          <cell r="C262" t="str">
            <v>CORTE E DESATERRO PARA REGULARIZAÇÃO E ARRASTAMENTO NIVELADO A CURTA DISTÂNCIA COM LÂMINA</v>
          </cell>
        </row>
        <row r="263">
          <cell r="A263" t="str">
            <v>ED-51123</v>
          </cell>
          <cell r="C263" t="str">
            <v>REGULARIZAÇÃO E COMPACTAÇÃO DE TERRENO COM PLACA VIBRATÓRIA</v>
          </cell>
          <cell r="E263">
            <v>2.59</v>
          </cell>
        </row>
        <row r="284">
          <cell r="A284" t="str">
            <v>ED-51107</v>
          </cell>
          <cell r="C284" t="str">
            <v>ESCAVAÇÃO MANUAL DE VALA COM PROFUNDIDADE MENOR OU IGUAL A 1,5M</v>
          </cell>
        </row>
        <row r="392">
          <cell r="A392" t="str">
            <v>ED-49787</v>
          </cell>
          <cell r="C392" t="str">
            <v>FORNECIMENTO DE CONCRETO ESTRUTURAL, PREPARADO EM OBRA COM BETONEIRA, COM FCK 25 MPA, INCLUSIVE LANÇAMENTO, ADENSAMENTO E ACABAMENTO (FUNDAÇÃO)</v>
          </cell>
          <cell r="D392" t="str">
            <v>M3</v>
          </cell>
        </row>
        <row r="947">
          <cell r="A947" t="str">
            <v>ED-50587</v>
          </cell>
          <cell r="C947" t="str">
            <v>PISO PODOTÁTIL DE CONCRETO, DIRECIONAL, APLICADO EM PISO (40X40CM) COM JUNTA SECA, COR VERMELHO/AMARELO, ASSENTAMENTO COM ARGAMASSA INDUSTRIALIZADA, INCLUSIVE FORNECIMENTO E INSTALAÇÃO</v>
          </cell>
        </row>
        <row r="1997">
          <cell r="A1997" t="str">
            <v>ED-49497</v>
          </cell>
          <cell r="C1997" t="str">
            <v>POSTE TELECÔNICO RETO, H = 9,00 M EM AÇO GALVANIZADO , (LIVRE)</v>
          </cell>
        </row>
        <row r="2788">
          <cell r="A2788" t="str">
            <v>ED-50437</v>
          </cell>
          <cell r="C2788" t="str">
            <v>PLANTIO DE GRAMA ESMERALDA EM PLACAS, INCLUSIVE TERRA VEGETAL E CONSERVAÇÃO POR 30 DIAS</v>
          </cell>
        </row>
        <row r="2792">
          <cell r="A2792" t="str">
            <v>ED-50432</v>
          </cell>
          <cell r="C2792" t="str">
            <v>PLANTIO E PREPARO DE COVAS DE ÁRVORES H MÍN. = 1,80 M COM COVA 60 X 60 X 60 CM, EXCETO FORNECIMENTO DAS MUDAS</v>
          </cell>
        </row>
        <row r="2865">
          <cell r="A2865" t="str">
            <v>ED-51147</v>
          </cell>
          <cell r="C2865" t="str">
            <v>LANÇAMENTO E ESPALHAMENTO DE SOLO OU MATERIAL DE DEMOLIÇÃO EM ÁREA DE PASSEIO EXCLUSIVE APILOAMENTO</v>
          </cell>
        </row>
        <row r="2893">
          <cell r="A2893" t="str">
            <v>ED-51140</v>
          </cell>
          <cell r="C2893" t="str">
            <v>GUIA DE MEIO-FIO, EM CONCRETO COM FCK 20MPA, PRÉ-MOLDADA, MFC-03 PADRÃO DER-MG, DIMENSÕES (12X18X45)CM, EXCLUSIVE SARJETA, INCLUSIVE ESCAVAÇÃO, APILOAMENTO E TRANSPORTE COM RETIRADA DO MATERIAL ESCAVADO (EM CAÇAMBA)</v>
          </cell>
        </row>
        <row r="2916">
          <cell r="A2916" t="str">
            <v>ED-48360</v>
          </cell>
          <cell r="C2916" t="str">
            <v>CONJUNTO DE MESA E BANCOS DE CONCRETO PARA JOGOS (02 BANCOS EM ARCO COM D INTERNO = 130 CM E H = 43 CM E MESA COM D = 80 CM, E = 8 CM E H = 75 CM)</v>
          </cell>
        </row>
        <row r="2946">
          <cell r="A2946" t="str">
            <v>ED-50266</v>
          </cell>
          <cell r="C2946" t="str">
            <v>LIMPEZA FINAL PARA ENTREGA DA OBRA</v>
          </cell>
        </row>
        <row r="2954">
          <cell r="A2954" t="str">
            <v>ED-50418</v>
          </cell>
          <cell r="C2954" t="str">
            <v>PISO DE CONCRETO PRÉ-MOLDADO INTERTRAVADO E = 8 CM - FCK = 35 MPA, INCLUINDO FORNECIMENTO E TRANSPORTE DE TODOS OS MATERIAIS, COLCHÃO DE ASSENTAMENTO E = 6 CM</v>
          </cell>
        </row>
        <row r="3173">
          <cell r="A3173" t="str">
            <v>ED-50381</v>
          </cell>
          <cell r="C3173" t="str">
            <v>PEDREIRO COM ENCARGOS COMPLEMENTARES</v>
          </cell>
        </row>
        <row r="3180">
          <cell r="A3180" t="str">
            <v>ED-50367</v>
          </cell>
          <cell r="C3180" t="str">
            <v>SERVENTE COM ENCARGOS COMPLEMENTARES</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 val="MEMORIA"/>
      <sheetName val="CRONOGRAMA"/>
      <sheetName val="QCI"/>
      <sheetName val="CPU ADM"/>
      <sheetName val="COTAÇÕES"/>
      <sheetName val="CPU ELÉTRICO"/>
    </sheetNames>
    <sheetDataSet>
      <sheetData sheetId="0">
        <row r="81">
          <cell r="A81" t="str">
            <v>LOCAL E DATA: BRASILIA DE MINAS, FEVEREIRO DE 2020</v>
          </cell>
        </row>
        <row r="91">
          <cell r="H91" t="str">
            <v>PREFEITURA MUNICIPAL DE BRASILIA DE MINAS</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21"/>
  <sheetViews>
    <sheetView tabSelected="1" view="pageBreakPreview" topLeftCell="A52" zoomScaleSheetLayoutView="100" workbookViewId="0">
      <selection activeCell="I64" sqref="I64"/>
    </sheetView>
  </sheetViews>
  <sheetFormatPr defaultColWidth="9.33203125" defaultRowHeight="12" x14ac:dyDescent="0.25"/>
  <cols>
    <col min="1" max="1" width="7.6640625" style="3" customWidth="1"/>
    <col min="2" max="2" width="14.33203125" style="3" customWidth="1"/>
    <col min="3" max="3" width="11.5546875" style="3" customWidth="1"/>
    <col min="4" max="4" width="10.109375" style="3" customWidth="1"/>
    <col min="5" max="6" width="8.33203125" style="3" customWidth="1"/>
    <col min="7" max="8" width="10.109375" style="3" customWidth="1"/>
    <col min="9" max="9" width="13.6640625" style="3" customWidth="1"/>
    <col min="10" max="10" width="8.109375" style="8" customWidth="1"/>
    <col min="11" max="11" width="2.109375" style="4" customWidth="1"/>
    <col min="12" max="12" width="9.6640625" style="4" customWidth="1"/>
    <col min="13" max="13" width="6" style="4" customWidth="1"/>
    <col min="14" max="14" width="13.44140625" style="4" customWidth="1"/>
    <col min="15" max="15" width="7.44140625" style="4" customWidth="1"/>
    <col min="16" max="16" width="5.44140625" style="4" customWidth="1"/>
    <col min="17" max="17" width="2.6640625" style="4" customWidth="1"/>
    <col min="18" max="18" width="11.6640625" style="4" customWidth="1"/>
    <col min="19" max="19" width="2.44140625" style="4" customWidth="1"/>
    <col min="20" max="20" width="7.44140625" style="4" customWidth="1"/>
    <col min="21" max="21" width="12" style="4" customWidth="1"/>
    <col min="22" max="22" width="11.6640625" style="3" customWidth="1"/>
    <col min="23" max="24" width="14.44140625" style="3" bestFit="1" customWidth="1"/>
    <col min="25" max="16384" width="9.33203125" style="3"/>
  </cols>
  <sheetData>
    <row r="1" spans="1:22" ht="26.25" customHeight="1" x14ac:dyDescent="0.25">
      <c r="A1" s="362" t="s">
        <v>0</v>
      </c>
      <c r="B1" s="363"/>
      <c r="C1" s="363"/>
      <c r="D1" s="363"/>
      <c r="E1" s="363"/>
      <c r="F1" s="363"/>
      <c r="G1" s="363"/>
      <c r="H1" s="363"/>
      <c r="I1" s="363"/>
      <c r="J1" s="363"/>
      <c r="K1" s="363"/>
      <c r="L1" s="363"/>
      <c r="M1" s="363"/>
      <c r="N1" s="363"/>
      <c r="O1" s="363"/>
      <c r="P1" s="363"/>
      <c r="Q1" s="363"/>
      <c r="R1" s="363"/>
      <c r="S1" s="363"/>
      <c r="T1" s="363"/>
      <c r="U1" s="364"/>
    </row>
    <row r="2" spans="1:22" x14ac:dyDescent="0.25">
      <c r="A2" s="775" t="s">
        <v>293</v>
      </c>
      <c r="B2" s="365"/>
      <c r="C2" s="365"/>
      <c r="D2" s="365"/>
      <c r="E2" s="365"/>
      <c r="F2" s="365"/>
      <c r="G2" s="365"/>
      <c r="H2" s="365"/>
      <c r="I2" s="365"/>
      <c r="J2" s="365"/>
      <c r="K2" s="365"/>
      <c r="L2" s="365"/>
      <c r="M2" s="365"/>
      <c r="N2" s="365"/>
      <c r="O2" s="365"/>
      <c r="P2" s="365"/>
      <c r="Q2" s="365"/>
      <c r="R2" s="365"/>
      <c r="S2" s="365"/>
      <c r="T2" s="365"/>
      <c r="U2" s="365"/>
    </row>
    <row r="3" spans="1:22" ht="12" customHeight="1" x14ac:dyDescent="0.25">
      <c r="A3" s="306" t="s">
        <v>1</v>
      </c>
      <c r="B3" s="307"/>
      <c r="C3" s="307"/>
      <c r="D3" s="307"/>
      <c r="E3" s="307"/>
      <c r="F3" s="307"/>
      <c r="G3" s="307"/>
      <c r="H3" s="307"/>
      <c r="I3" s="307"/>
      <c r="J3" s="307"/>
      <c r="K3" s="307"/>
      <c r="L3" s="307"/>
      <c r="M3" s="307"/>
      <c r="N3" s="307"/>
      <c r="O3" s="307"/>
      <c r="P3" s="307"/>
      <c r="Q3" s="307"/>
      <c r="R3" s="307"/>
      <c r="S3" s="307"/>
      <c r="T3" s="307"/>
      <c r="U3" s="308"/>
    </row>
    <row r="4" spans="1:22" ht="12" customHeight="1" x14ac:dyDescent="0.25">
      <c r="A4" s="772" t="s">
        <v>92</v>
      </c>
      <c r="B4" s="773"/>
      <c r="C4" s="773"/>
      <c r="D4" s="773"/>
      <c r="E4" s="773"/>
      <c r="F4" s="773"/>
      <c r="G4" s="773"/>
      <c r="H4" s="773"/>
      <c r="I4" s="773"/>
      <c r="J4" s="773"/>
      <c r="K4" s="773"/>
      <c r="L4" s="773"/>
      <c r="M4" s="773"/>
      <c r="N4" s="773"/>
      <c r="O4" s="773"/>
      <c r="P4" s="773"/>
      <c r="Q4" s="773"/>
      <c r="R4" s="773"/>
      <c r="S4" s="773"/>
      <c r="T4" s="773"/>
      <c r="U4" s="774"/>
    </row>
    <row r="5" spans="1:22" x14ac:dyDescent="0.25">
      <c r="A5" s="366" t="s">
        <v>2</v>
      </c>
      <c r="B5" s="366"/>
      <c r="C5" s="366"/>
      <c r="D5" s="366"/>
      <c r="E5" s="366"/>
      <c r="F5" s="366"/>
      <c r="G5" s="366"/>
      <c r="H5" s="366"/>
      <c r="I5" s="366"/>
      <c r="J5" s="366"/>
      <c r="K5" s="366"/>
      <c r="L5" s="366"/>
      <c r="M5" s="367" t="s">
        <v>3</v>
      </c>
      <c r="N5" s="367"/>
      <c r="O5" s="367"/>
      <c r="P5" s="367"/>
      <c r="Q5" s="367"/>
      <c r="R5" s="367"/>
      <c r="S5" s="367"/>
      <c r="T5" s="367"/>
      <c r="U5" s="251" t="s">
        <v>4</v>
      </c>
    </row>
    <row r="6" spans="1:22" x14ac:dyDescent="0.25">
      <c r="A6" s="368" t="s">
        <v>242</v>
      </c>
      <c r="B6" s="368"/>
      <c r="C6" s="368"/>
      <c r="D6" s="368"/>
      <c r="E6" s="368"/>
      <c r="F6" s="368"/>
      <c r="G6" s="368"/>
      <c r="H6" s="368"/>
      <c r="I6" s="368"/>
      <c r="J6" s="368"/>
      <c r="K6" s="368"/>
      <c r="L6" s="368"/>
      <c r="M6" s="369" t="s">
        <v>141</v>
      </c>
      <c r="N6" s="369"/>
      <c r="O6" s="369"/>
      <c r="P6" s="369"/>
      <c r="Q6" s="369"/>
      <c r="R6" s="369"/>
      <c r="S6" s="369"/>
      <c r="T6" s="369"/>
      <c r="U6" s="252" t="s">
        <v>5</v>
      </c>
    </row>
    <row r="7" spans="1:22" ht="25.5" customHeight="1" x14ac:dyDescent="0.25">
      <c r="A7" s="770"/>
      <c r="B7" s="770"/>
      <c r="C7" s="770"/>
      <c r="D7" s="770"/>
      <c r="E7" s="770"/>
      <c r="F7" s="770"/>
      <c r="G7" s="770"/>
      <c r="H7" s="770"/>
      <c r="I7" s="770"/>
      <c r="J7" s="770"/>
      <c r="K7" s="770"/>
      <c r="L7" s="770"/>
      <c r="M7" s="367" t="s">
        <v>7</v>
      </c>
      <c r="N7" s="367"/>
      <c r="O7" s="367"/>
      <c r="P7" s="367"/>
      <c r="Q7" s="367"/>
      <c r="R7" s="771" t="s">
        <v>243</v>
      </c>
      <c r="S7" s="367"/>
      <c r="T7" s="367"/>
      <c r="U7" s="367"/>
    </row>
    <row r="8" spans="1:22" ht="21.6" customHeight="1" x14ac:dyDescent="0.25">
      <c r="A8" s="399"/>
      <c r="B8" s="399"/>
      <c r="C8" s="399"/>
      <c r="D8" s="399"/>
      <c r="E8" s="399"/>
      <c r="F8" s="399"/>
      <c r="G8" s="399"/>
      <c r="H8" s="399"/>
      <c r="I8" s="399"/>
      <c r="J8" s="399"/>
      <c r="K8" s="399"/>
      <c r="L8" s="399"/>
      <c r="M8" s="370" t="s">
        <v>101</v>
      </c>
      <c r="N8" s="371"/>
      <c r="O8" s="371"/>
      <c r="P8" s="371"/>
      <c r="Q8" s="371"/>
      <c r="R8" s="371"/>
      <c r="S8" s="371"/>
      <c r="T8" s="371"/>
      <c r="U8" s="372"/>
    </row>
    <row r="9" spans="1:22" ht="23.25" customHeight="1" x14ac:dyDescent="0.25">
      <c r="A9" s="779"/>
      <c r="B9" s="766"/>
      <c r="C9" s="766"/>
      <c r="D9" s="766"/>
      <c r="E9" s="780" t="s">
        <v>292</v>
      </c>
      <c r="F9" s="780"/>
      <c r="G9" s="780"/>
      <c r="H9" s="780"/>
      <c r="I9" s="780"/>
      <c r="J9" s="776">
        <v>0.2616</v>
      </c>
      <c r="K9" s="777"/>
      <c r="L9" s="778"/>
      <c r="M9" s="386" t="s">
        <v>291</v>
      </c>
      <c r="N9" s="386"/>
      <c r="O9" s="386"/>
      <c r="P9" s="386"/>
      <c r="Q9" s="386"/>
      <c r="R9" s="386"/>
      <c r="S9" s="387"/>
      <c r="T9" s="768">
        <v>0.26719999999999999</v>
      </c>
      <c r="U9" s="769"/>
    </row>
    <row r="10" spans="1:22" x14ac:dyDescent="0.25">
      <c r="A10" s="373"/>
      <c r="B10" s="374"/>
      <c r="C10" s="374"/>
      <c r="D10" s="374"/>
      <c r="E10" s="767"/>
      <c r="F10" s="767"/>
      <c r="G10" s="767"/>
      <c r="H10" s="767"/>
      <c r="I10" s="767"/>
      <c r="J10" s="767"/>
      <c r="K10" s="767"/>
      <c r="L10" s="767"/>
      <c r="M10" s="374"/>
      <c r="N10" s="374"/>
      <c r="O10" s="374"/>
      <c r="P10" s="374"/>
      <c r="Q10" s="374"/>
      <c r="R10" s="374"/>
      <c r="S10" s="374"/>
      <c r="T10" s="374"/>
      <c r="U10" s="375"/>
    </row>
    <row r="11" spans="1:22" x14ac:dyDescent="0.25">
      <c r="A11" s="376" t="s">
        <v>8</v>
      </c>
      <c r="B11" s="380" t="s">
        <v>9</v>
      </c>
      <c r="C11" s="380" t="s">
        <v>10</v>
      </c>
      <c r="D11" s="343" t="s">
        <v>11</v>
      </c>
      <c r="E11" s="344"/>
      <c r="F11" s="344"/>
      <c r="G11" s="344"/>
      <c r="H11" s="344"/>
      <c r="I11" s="345"/>
      <c r="J11" s="380" t="s">
        <v>12</v>
      </c>
      <c r="K11" s="343" t="s">
        <v>13</v>
      </c>
      <c r="L11" s="344"/>
      <c r="M11" s="345"/>
      <c r="N11" s="352" t="s">
        <v>14</v>
      </c>
      <c r="O11" s="353"/>
      <c r="P11" s="353"/>
      <c r="Q11" s="353"/>
      <c r="R11" s="353"/>
      <c r="S11" s="353"/>
      <c r="T11" s="353"/>
      <c r="U11" s="354"/>
    </row>
    <row r="12" spans="1:22" x14ac:dyDescent="0.25">
      <c r="A12" s="377"/>
      <c r="B12" s="381"/>
      <c r="C12" s="381"/>
      <c r="D12" s="346"/>
      <c r="E12" s="347"/>
      <c r="F12" s="347"/>
      <c r="G12" s="347"/>
      <c r="H12" s="347"/>
      <c r="I12" s="348"/>
      <c r="J12" s="381"/>
      <c r="K12" s="346"/>
      <c r="L12" s="347"/>
      <c r="M12" s="348"/>
      <c r="N12" s="352" t="s">
        <v>15</v>
      </c>
      <c r="O12" s="353"/>
      <c r="P12" s="385"/>
      <c r="Q12" s="352" t="s">
        <v>16</v>
      </c>
      <c r="R12" s="353"/>
      <c r="S12" s="353"/>
      <c r="T12" s="353"/>
      <c r="U12" s="354"/>
    </row>
    <row r="13" spans="1:22" ht="25.5" customHeight="1" x14ac:dyDescent="0.25">
      <c r="A13" s="378"/>
      <c r="B13" s="382"/>
      <c r="C13" s="382"/>
      <c r="D13" s="349"/>
      <c r="E13" s="350"/>
      <c r="F13" s="350"/>
      <c r="G13" s="350"/>
      <c r="H13" s="350"/>
      <c r="I13" s="351"/>
      <c r="J13" s="382"/>
      <c r="K13" s="349"/>
      <c r="L13" s="350"/>
      <c r="M13" s="351"/>
      <c r="N13" s="5" t="s">
        <v>17</v>
      </c>
      <c r="O13" s="352" t="s">
        <v>18</v>
      </c>
      <c r="P13" s="385"/>
      <c r="Q13" s="352" t="s">
        <v>17</v>
      </c>
      <c r="R13" s="385"/>
      <c r="S13" s="352" t="s">
        <v>18</v>
      </c>
      <c r="T13" s="353"/>
      <c r="U13" s="354"/>
    </row>
    <row r="14" spans="1:22" ht="15.75" customHeight="1" x14ac:dyDescent="0.25">
      <c r="A14" s="355" t="str">
        <f>A6</f>
        <v>CONSTRUÇÃO DE OBRA DE ACESSIBILIDADE DAS VIAS DO ENTORNO DO TERMINAL RODOVIÁRIO DE BRASÍLIA DE MINAS/MG</v>
      </c>
      <c r="B14" s="356"/>
      <c r="C14" s="356"/>
      <c r="D14" s="356"/>
      <c r="E14" s="356"/>
      <c r="F14" s="356"/>
      <c r="G14" s="356"/>
      <c r="H14" s="356"/>
      <c r="I14" s="356"/>
      <c r="J14" s="356"/>
      <c r="K14" s="356"/>
      <c r="L14" s="356"/>
      <c r="M14" s="356"/>
      <c r="N14" s="356"/>
      <c r="O14" s="356"/>
      <c r="P14" s="356"/>
      <c r="Q14" s="356"/>
      <c r="R14" s="356"/>
      <c r="S14" s="356"/>
      <c r="T14" s="356"/>
      <c r="U14" s="357"/>
    </row>
    <row r="15" spans="1:22" ht="10.5" customHeight="1" x14ac:dyDescent="0.25">
      <c r="A15" s="31" t="s">
        <v>109</v>
      </c>
      <c r="B15" s="383"/>
      <c r="C15" s="384"/>
      <c r="D15" s="303" t="s">
        <v>19</v>
      </c>
      <c r="E15" s="304"/>
      <c r="F15" s="304"/>
      <c r="G15" s="304"/>
      <c r="H15" s="304"/>
      <c r="I15" s="304"/>
      <c r="J15" s="304"/>
      <c r="K15" s="304"/>
      <c r="L15" s="304"/>
      <c r="M15" s="304"/>
      <c r="N15" s="304"/>
      <c r="O15" s="304"/>
      <c r="P15" s="304"/>
      <c r="Q15" s="304"/>
      <c r="R15" s="304"/>
      <c r="S15" s="304"/>
      <c r="T15" s="304"/>
      <c r="U15" s="305"/>
    </row>
    <row r="16" spans="1:22" ht="69" customHeight="1" x14ac:dyDescent="0.25">
      <c r="A16" s="32" t="s">
        <v>20</v>
      </c>
      <c r="B16" s="1" t="str">
        <f>[1]EDIFICAÇÕES!$A$179</f>
        <v>ED-16660</v>
      </c>
      <c r="C16" s="1" t="s">
        <v>114</v>
      </c>
      <c r="D16" s="315" t="str">
        <f>[1]EDIFICAÇÕES!$C$179</f>
        <v>FORNECIMENTO E COLOCAÇÃO DE PLACA DE OBRA EM CHAPA GALVANIZADA #26, ESP. 0,45 MM, PLOTADA COM ADESIVO VINÍLICO, AFIXADA COM REBITES 4,8X40 MM, EM ESTRUTURA METÁLICA DE METALON 20X20 MM, ESP. 1,25 MM, INCLUSIVE SUPORTE EM EUCALIPTO AUTOCLAVADO PINTADO COM TINTA PVA DUAS (2) DEMÃOS</v>
      </c>
      <c r="E16" s="316"/>
      <c r="F16" s="316"/>
      <c r="G16" s="316"/>
      <c r="H16" s="316"/>
      <c r="I16" s="317"/>
      <c r="J16" s="1" t="s">
        <v>22</v>
      </c>
      <c r="K16" s="337">
        <f>MEMORIA!I11</f>
        <v>4.5</v>
      </c>
      <c r="L16" s="338"/>
      <c r="M16" s="339"/>
      <c r="N16" s="66">
        <v>206.42</v>
      </c>
      <c r="O16" s="358">
        <f>IF(J16="","",ROUND(K16*N16,2))</f>
        <v>928.89</v>
      </c>
      <c r="P16" s="379"/>
      <c r="Q16" s="358">
        <f>IF(J16="","",ROUND(N16*(1+$T$9),2))</f>
        <v>261.58</v>
      </c>
      <c r="R16" s="379"/>
      <c r="S16" s="358">
        <f>IF(J16="","",ROUND(K16*Q16,2))</f>
        <v>1177.1099999999999</v>
      </c>
      <c r="T16" s="359"/>
      <c r="U16" s="360"/>
      <c r="V16" s="42"/>
    </row>
    <row r="17" spans="1:22" x14ac:dyDescent="0.25">
      <c r="A17" s="33"/>
      <c r="B17" s="329" t="s">
        <v>21</v>
      </c>
      <c r="C17" s="330"/>
      <c r="D17" s="330"/>
      <c r="E17" s="330"/>
      <c r="F17" s="330"/>
      <c r="G17" s="330"/>
      <c r="H17" s="330"/>
      <c r="I17" s="330"/>
      <c r="J17" s="330"/>
      <c r="K17" s="330"/>
      <c r="L17" s="330"/>
      <c r="M17" s="330"/>
      <c r="N17" s="330"/>
      <c r="O17" s="330"/>
      <c r="P17" s="330"/>
      <c r="Q17" s="330"/>
      <c r="R17" s="331"/>
      <c r="S17" s="298">
        <f>SUM(S16:U16)</f>
        <v>1177.1099999999999</v>
      </c>
      <c r="T17" s="299"/>
      <c r="U17" s="300"/>
    </row>
    <row r="18" spans="1:22" ht="12" customHeight="1" x14ac:dyDescent="0.25">
      <c r="A18" s="34" t="s">
        <v>107</v>
      </c>
      <c r="B18" s="301"/>
      <c r="C18" s="302"/>
      <c r="D18" s="303" t="s">
        <v>142</v>
      </c>
      <c r="E18" s="304"/>
      <c r="F18" s="304"/>
      <c r="G18" s="304"/>
      <c r="H18" s="304"/>
      <c r="I18" s="304"/>
      <c r="J18" s="304"/>
      <c r="K18" s="304"/>
      <c r="L18" s="304"/>
      <c r="M18" s="304"/>
      <c r="N18" s="304"/>
      <c r="O18" s="304"/>
      <c r="P18" s="304"/>
      <c r="Q18" s="304"/>
      <c r="R18" s="304"/>
      <c r="S18" s="304"/>
      <c r="T18" s="304"/>
      <c r="U18" s="305"/>
    </row>
    <row r="19" spans="1:22" ht="27" customHeight="1" x14ac:dyDescent="0.25">
      <c r="A19" s="32" t="s">
        <v>88</v>
      </c>
      <c r="B19" s="16" t="str">
        <f>[2]EDIFICAÇÕES!$A$151</f>
        <v>ED-48472</v>
      </c>
      <c r="C19" s="1" t="s">
        <v>114</v>
      </c>
      <c r="D19" s="315" t="str">
        <f>[2]EDIFICAÇÕES!$C$151</f>
        <v>REMOÇÃO DE MEIO-FIO PRÉ-MOLDADO DE CONCRETO INCLUSIVE CARGA</v>
      </c>
      <c r="E19" s="316"/>
      <c r="F19" s="316"/>
      <c r="G19" s="316"/>
      <c r="H19" s="316"/>
      <c r="I19" s="317"/>
      <c r="J19" s="1" t="s">
        <v>104</v>
      </c>
      <c r="K19" s="337">
        <f>MEMORIA!I20</f>
        <v>146.72</v>
      </c>
      <c r="L19" s="338"/>
      <c r="M19" s="339"/>
      <c r="N19" s="65">
        <v>9.2100000000000009</v>
      </c>
      <c r="O19" s="321">
        <f t="shared" ref="O19" si="0">IF(J19="","",ROUND(K19*N19,2))</f>
        <v>1351.29</v>
      </c>
      <c r="P19" s="322"/>
      <c r="Q19" s="321">
        <f>IF(J19="","",ROUND(N19*(1+$T$9),2))</f>
        <v>11.67</v>
      </c>
      <c r="R19" s="322"/>
      <c r="S19" s="321">
        <f t="shared" ref="S19" si="1">IF(J19="","",ROUND(K19*Q19,2))</f>
        <v>1712.22</v>
      </c>
      <c r="T19" s="323"/>
      <c r="U19" s="324"/>
      <c r="V19" s="42"/>
    </row>
    <row r="20" spans="1:22" ht="28.8" customHeight="1" x14ac:dyDescent="0.25">
      <c r="A20" s="32" t="s">
        <v>91</v>
      </c>
      <c r="B20" s="16" t="str">
        <f>[2]EDIFICAÇÕES!$A$263</f>
        <v>ED-51123</v>
      </c>
      <c r="C20" s="1" t="s">
        <v>114</v>
      </c>
      <c r="D20" s="315" t="str">
        <f>[2]EDIFICAÇÕES!$C$263</f>
        <v>REGULARIZAÇÃO E COMPACTAÇÃO DE TERRENO COM PLACA VIBRATÓRIA</v>
      </c>
      <c r="E20" s="316"/>
      <c r="F20" s="316"/>
      <c r="G20" s="316"/>
      <c r="H20" s="316"/>
      <c r="I20" s="317"/>
      <c r="J20" s="1" t="s">
        <v>22</v>
      </c>
      <c r="K20" s="337">
        <f>MEMORIA!I26</f>
        <v>469.53</v>
      </c>
      <c r="L20" s="338"/>
      <c r="M20" s="339"/>
      <c r="N20" s="65">
        <f>[2]EDIFICAÇÕES!$E$263</f>
        <v>2.59</v>
      </c>
      <c r="O20" s="321">
        <f t="shared" ref="O20:O21" si="2">IF(J20="","",ROUND(K20*N20,2))</f>
        <v>1216.08</v>
      </c>
      <c r="P20" s="322"/>
      <c r="Q20" s="321">
        <f>IF(J20="","",ROUND(N20*(1+$T$9),2))</f>
        <v>3.28</v>
      </c>
      <c r="R20" s="322"/>
      <c r="S20" s="321">
        <f t="shared" ref="S20:S21" si="3">IF(J20="","",ROUND(K20*Q20,2))</f>
        <v>1540.06</v>
      </c>
      <c r="T20" s="323"/>
      <c r="U20" s="324"/>
      <c r="V20" s="42"/>
    </row>
    <row r="21" spans="1:22" ht="26.4" customHeight="1" x14ac:dyDescent="0.25">
      <c r="A21" s="32" t="s">
        <v>132</v>
      </c>
      <c r="B21" s="16" t="str">
        <f>[2]RODOVIÁRIAS!$A$704</f>
        <v>RO-41212</v>
      </c>
      <c r="C21" s="1" t="s">
        <v>114</v>
      </c>
      <c r="D21" s="315" t="str">
        <f>[2]RODOVIÁRIAS!$C$704</f>
        <v>REMOÇÃO E CARGA DO REVESTIMENTO ASFALTICO EM PRÉ-MISTURADO OU CONCRETO BETUMINOSO USINADO A QUENTE</v>
      </c>
      <c r="E21" s="316"/>
      <c r="F21" s="316"/>
      <c r="G21" s="316"/>
      <c r="H21" s="316"/>
      <c r="I21" s="317"/>
      <c r="J21" s="1" t="s">
        <v>22</v>
      </c>
      <c r="K21" s="337">
        <f>MEMORIA!I32</f>
        <v>18.149999999999999</v>
      </c>
      <c r="L21" s="338"/>
      <c r="M21" s="339"/>
      <c r="N21" s="65">
        <v>1.0900000000000001</v>
      </c>
      <c r="O21" s="321">
        <f t="shared" si="2"/>
        <v>19.78</v>
      </c>
      <c r="P21" s="322"/>
      <c r="Q21" s="321">
        <f>IF(J21="","",ROUND(N21*(1+$J$9),2))</f>
        <v>1.38</v>
      </c>
      <c r="R21" s="322"/>
      <c r="S21" s="321">
        <f t="shared" si="3"/>
        <v>25.05</v>
      </c>
      <c r="T21" s="323"/>
      <c r="U21" s="324"/>
      <c r="V21" s="42"/>
    </row>
    <row r="22" spans="1:22" ht="26.4" customHeight="1" x14ac:dyDescent="0.25">
      <c r="A22" s="32" t="s">
        <v>133</v>
      </c>
      <c r="B22" s="16" t="str">
        <f>[2]RODOVIÁRIAS!$A$716</f>
        <v>RO-42387</v>
      </c>
      <c r="C22" s="1" t="s">
        <v>114</v>
      </c>
      <c r="D22" s="315" t="str">
        <f>[2]RODOVIÁRIAS!$C$716</f>
        <v>REMOÇÃO DE BLOCOS SEXTAVADOS (BLOQUETES)</v>
      </c>
      <c r="E22" s="316"/>
      <c r="F22" s="316"/>
      <c r="G22" s="316"/>
      <c r="H22" s="316"/>
      <c r="I22" s="317"/>
      <c r="J22" s="1" t="s">
        <v>22</v>
      </c>
      <c r="K22" s="337">
        <f>MEMORIA!I38</f>
        <v>22.9</v>
      </c>
      <c r="L22" s="338"/>
      <c r="M22" s="339"/>
      <c r="N22" s="65">
        <v>10.6</v>
      </c>
      <c r="O22" s="321">
        <f t="shared" ref="O22" si="4">IF(J22="","",ROUND(K22*N22,2))</f>
        <v>242.74</v>
      </c>
      <c r="P22" s="322"/>
      <c r="Q22" s="321">
        <f>IF(J22="","",ROUND(N22*(1+$J$9),2))</f>
        <v>13.37</v>
      </c>
      <c r="R22" s="322"/>
      <c r="S22" s="321">
        <f t="shared" ref="S22" si="5">IF(J22="","",ROUND(K22*Q22,2))</f>
        <v>306.17</v>
      </c>
      <c r="T22" s="323"/>
      <c r="U22" s="324"/>
      <c r="V22" s="42"/>
    </row>
    <row r="23" spans="1:22" ht="26.4" customHeight="1" x14ac:dyDescent="0.25">
      <c r="A23" s="32" t="s">
        <v>134</v>
      </c>
      <c r="B23" s="16" t="str">
        <f>[2]EDIFICAÇÕES!$A$262</f>
        <v>ED-51100</v>
      </c>
      <c r="C23" s="1" t="s">
        <v>114</v>
      </c>
      <c r="D23" s="315" t="str">
        <f>[2]EDIFICAÇÕES!$C$262</f>
        <v>CORTE E DESATERRO PARA REGULARIZAÇÃO E ARRASTAMENTO NIVELADO A CURTA DISTÂNCIA COM LÂMINA</v>
      </c>
      <c r="E23" s="316"/>
      <c r="F23" s="316"/>
      <c r="G23" s="316"/>
      <c r="H23" s="316"/>
      <c r="I23" s="317"/>
      <c r="J23" s="1" t="s">
        <v>103</v>
      </c>
      <c r="K23" s="337">
        <f>MEMORIA!I44</f>
        <v>131.79</v>
      </c>
      <c r="L23" s="338"/>
      <c r="M23" s="339"/>
      <c r="N23" s="65">
        <v>3.17</v>
      </c>
      <c r="O23" s="321">
        <f t="shared" ref="O23" si="6">IF(J23="","",ROUND(K23*N23,2))</f>
        <v>417.77</v>
      </c>
      <c r="P23" s="322"/>
      <c r="Q23" s="321">
        <f>IF(J23="","",ROUND(N23*(1+$T$9),2))</f>
        <v>4.0199999999999996</v>
      </c>
      <c r="R23" s="322"/>
      <c r="S23" s="321">
        <f t="shared" ref="S23" si="7">IF(J23="","",ROUND(K23*Q23,2))</f>
        <v>529.79999999999995</v>
      </c>
      <c r="T23" s="323"/>
      <c r="U23" s="324"/>
      <c r="V23" s="42"/>
    </row>
    <row r="24" spans="1:22" x14ac:dyDescent="0.25">
      <c r="A24" s="33"/>
      <c r="B24" s="329" t="s">
        <v>21</v>
      </c>
      <c r="C24" s="330"/>
      <c r="D24" s="330"/>
      <c r="E24" s="330"/>
      <c r="F24" s="330"/>
      <c r="G24" s="330"/>
      <c r="H24" s="330"/>
      <c r="I24" s="330"/>
      <c r="J24" s="330"/>
      <c r="K24" s="330"/>
      <c r="L24" s="330"/>
      <c r="M24" s="330"/>
      <c r="N24" s="330"/>
      <c r="O24" s="330"/>
      <c r="P24" s="330"/>
      <c r="Q24" s="330"/>
      <c r="R24" s="331"/>
      <c r="S24" s="298">
        <f>SUM(S19:U23)</f>
        <v>4113.3</v>
      </c>
      <c r="T24" s="299"/>
      <c r="U24" s="300"/>
    </row>
    <row r="25" spans="1:22" x14ac:dyDescent="0.25">
      <c r="A25" s="34" t="s">
        <v>108</v>
      </c>
      <c r="B25" s="301"/>
      <c r="C25" s="302"/>
      <c r="D25" s="303" t="s">
        <v>164</v>
      </c>
      <c r="E25" s="304"/>
      <c r="F25" s="304"/>
      <c r="G25" s="304"/>
      <c r="H25" s="304"/>
      <c r="I25" s="304"/>
      <c r="J25" s="304"/>
      <c r="K25" s="304"/>
      <c r="L25" s="304"/>
      <c r="M25" s="304"/>
      <c r="N25" s="304"/>
      <c r="O25" s="304"/>
      <c r="P25" s="304"/>
      <c r="Q25" s="304"/>
      <c r="R25" s="304"/>
      <c r="S25" s="304"/>
      <c r="T25" s="304"/>
      <c r="U25" s="305"/>
    </row>
    <row r="26" spans="1:22" ht="54.6" customHeight="1" x14ac:dyDescent="0.25">
      <c r="A26" s="32" t="s">
        <v>23</v>
      </c>
      <c r="B26" s="16" t="str">
        <f>[2]EDIFICAÇÕES!$A$2893</f>
        <v>ED-51140</v>
      </c>
      <c r="C26" s="1" t="s">
        <v>114</v>
      </c>
      <c r="D26" s="315" t="str">
        <f>[2]EDIFICAÇÕES!$C$2893</f>
        <v>GUIA DE MEIO-FIO, EM CONCRETO COM FCK 20MPA, PRÉ-MOLDADA, MFC-03 PADRÃO DER-MG, DIMENSÕES (12X18X45)CM, EXCLUSIVE SARJETA, INCLUSIVE ESCAVAÇÃO, APILOAMENTO E TRANSPORTE COM RETIRADA DO MATERIAL ESCAVADO (EM CAÇAMBA)</v>
      </c>
      <c r="E26" s="316"/>
      <c r="F26" s="316"/>
      <c r="G26" s="316"/>
      <c r="H26" s="316"/>
      <c r="I26" s="317"/>
      <c r="J26" s="1" t="s">
        <v>104</v>
      </c>
      <c r="K26" s="337">
        <f>MEMORIA!I52</f>
        <v>186.46</v>
      </c>
      <c r="L26" s="338"/>
      <c r="M26" s="339"/>
      <c r="N26" s="65">
        <v>64.349999999999994</v>
      </c>
      <c r="O26" s="321">
        <f t="shared" ref="O26" si="8">IF(J26="","",ROUND(K26*N26,2))</f>
        <v>11998.7</v>
      </c>
      <c r="P26" s="322"/>
      <c r="Q26" s="321">
        <f>IF(J26="","",ROUND(N26*(1+$T$9),2))</f>
        <v>81.540000000000006</v>
      </c>
      <c r="R26" s="322"/>
      <c r="S26" s="321">
        <f t="shared" ref="S26" si="9">IF(J26="","",ROUND(K26*Q26,2))</f>
        <v>15203.95</v>
      </c>
      <c r="T26" s="323"/>
      <c r="U26" s="324"/>
      <c r="V26" s="42"/>
    </row>
    <row r="27" spans="1:22" ht="27" customHeight="1" x14ac:dyDescent="0.25">
      <c r="A27" s="32" t="s">
        <v>165</v>
      </c>
      <c r="B27" s="16"/>
      <c r="C27" s="1" t="s">
        <v>172</v>
      </c>
      <c r="D27" s="340" t="s">
        <v>169</v>
      </c>
      <c r="E27" s="341"/>
      <c r="F27" s="341"/>
      <c r="G27" s="341"/>
      <c r="H27" s="341"/>
      <c r="I27" s="342"/>
      <c r="J27" s="1" t="s">
        <v>12</v>
      </c>
      <c r="K27" s="337">
        <f>MEMORIA!I58</f>
        <v>4</v>
      </c>
      <c r="L27" s="338"/>
      <c r="M27" s="339"/>
      <c r="N27" s="65">
        <f>'CPU RAMPA'!G18</f>
        <v>224.8</v>
      </c>
      <c r="O27" s="321">
        <f t="shared" ref="O27" si="10">IF(J27="","",ROUND(K27*N27,2))</f>
        <v>899.2</v>
      </c>
      <c r="P27" s="322"/>
      <c r="Q27" s="321">
        <f>IF(J27="","",ROUND(N27*(1+$T$9),2))</f>
        <v>284.87</v>
      </c>
      <c r="R27" s="322"/>
      <c r="S27" s="321">
        <f t="shared" ref="S27" si="11">IF(J27="","",ROUND(K27*Q27,2))</f>
        <v>1139.48</v>
      </c>
      <c r="T27" s="323"/>
      <c r="U27" s="324"/>
      <c r="V27" s="42"/>
    </row>
    <row r="28" spans="1:22" x14ac:dyDescent="0.25">
      <c r="A28" s="241"/>
      <c r="B28" s="314" t="s">
        <v>21</v>
      </c>
      <c r="C28" s="314"/>
      <c r="D28" s="314"/>
      <c r="E28" s="314"/>
      <c r="F28" s="314"/>
      <c r="G28" s="314"/>
      <c r="H28" s="314"/>
      <c r="I28" s="314"/>
      <c r="J28" s="314"/>
      <c r="K28" s="314"/>
      <c r="L28" s="314"/>
      <c r="M28" s="314"/>
      <c r="N28" s="314"/>
      <c r="O28" s="314"/>
      <c r="P28" s="314"/>
      <c r="Q28" s="314"/>
      <c r="R28" s="314"/>
      <c r="S28" s="335">
        <f>SUM(S26:U27)</f>
        <v>16343.43</v>
      </c>
      <c r="T28" s="335"/>
      <c r="U28" s="336"/>
    </row>
    <row r="29" spans="1:22" x14ac:dyDescent="0.25">
      <c r="A29" s="34" t="s">
        <v>105</v>
      </c>
      <c r="B29" s="333"/>
      <c r="C29" s="334"/>
      <c r="D29" s="312" t="s">
        <v>143</v>
      </c>
      <c r="E29" s="313"/>
      <c r="F29" s="313"/>
      <c r="G29" s="313"/>
      <c r="H29" s="313"/>
      <c r="I29" s="313"/>
      <c r="J29" s="313"/>
      <c r="K29" s="313"/>
      <c r="L29" s="313"/>
      <c r="M29" s="313"/>
      <c r="N29" s="313"/>
      <c r="O29" s="313"/>
      <c r="P29" s="313"/>
      <c r="Q29" s="313"/>
      <c r="R29" s="313"/>
      <c r="S29" s="304"/>
      <c r="T29" s="304"/>
      <c r="U29" s="305"/>
    </row>
    <row r="30" spans="1:22" ht="50.4" customHeight="1" x14ac:dyDescent="0.25">
      <c r="A30" s="228" t="s">
        <v>24</v>
      </c>
      <c r="B30" s="229" t="str">
        <f>[2]EDIFICAÇÕES!$A$2954</f>
        <v>ED-50418</v>
      </c>
      <c r="C30" s="216" t="s">
        <v>114</v>
      </c>
      <c r="D30" s="291" t="str">
        <f>[2]EDIFICAÇÕES!$C$2954</f>
        <v>PISO DE CONCRETO PRÉ-MOLDADO INTERTRAVADO E = 8 CM - FCK = 35 MPA, INCLUINDO FORNECIMENTO E TRANSPORTE DE TODOS OS MATERIAIS, COLCHÃO DE ASSENTAMENTO E = 6 CM</v>
      </c>
      <c r="E30" s="292"/>
      <c r="F30" s="292"/>
      <c r="G30" s="292"/>
      <c r="H30" s="292"/>
      <c r="I30" s="293"/>
      <c r="J30" s="216" t="s">
        <v>22</v>
      </c>
      <c r="K30" s="326">
        <f>MEMORIA!I66</f>
        <v>461.11</v>
      </c>
      <c r="L30" s="327"/>
      <c r="M30" s="328"/>
      <c r="N30" s="230">
        <v>79.430000000000007</v>
      </c>
      <c r="O30" s="288">
        <f>IF(J30="","",ROUND(K30*N30,2))</f>
        <v>36625.97</v>
      </c>
      <c r="P30" s="297"/>
      <c r="Q30" s="288">
        <f>IF(J30="","",ROUND(N30*(1+$T$9),2))</f>
        <v>100.65</v>
      </c>
      <c r="R30" s="297"/>
      <c r="S30" s="288">
        <f>IF(J30="","",ROUND(K30*Q30,2))</f>
        <v>46410.720000000001</v>
      </c>
      <c r="T30" s="289"/>
      <c r="U30" s="290"/>
    </row>
    <row r="31" spans="1:22" ht="50.4" customHeight="1" x14ac:dyDescent="0.25">
      <c r="A31" s="228" t="s">
        <v>138</v>
      </c>
      <c r="B31" s="231" t="str">
        <f>[2]EDIFICAÇÕES!$A$947</f>
        <v>ED-50587</v>
      </c>
      <c r="C31" s="177" t="s">
        <v>114</v>
      </c>
      <c r="D31" s="306" t="str">
        <f>[2]EDIFICAÇÕES!$C$947</f>
        <v>PISO PODOTÁTIL DE CONCRETO, DIRECIONAL, APLICADO EM PISO (40X40CM) COM JUNTA SECA, COR VERMELHO/AMARELO, ASSENTAMENTO COM ARGAMASSA INDUSTRIALIZADA, INCLUSIVE FORNECIMENTO E INSTALAÇÃO</v>
      </c>
      <c r="E31" s="307"/>
      <c r="F31" s="307"/>
      <c r="G31" s="307"/>
      <c r="H31" s="307"/>
      <c r="I31" s="308"/>
      <c r="J31" s="177" t="s">
        <v>22</v>
      </c>
      <c r="K31" s="309">
        <f>MEMORIA!I73</f>
        <v>10.34</v>
      </c>
      <c r="L31" s="310"/>
      <c r="M31" s="311"/>
      <c r="N31" s="232">
        <v>110.59</v>
      </c>
      <c r="O31" s="288">
        <f t="shared" ref="O31" si="12">IF(J31="","",ROUND(K31*N31,2))</f>
        <v>1143.5</v>
      </c>
      <c r="P31" s="297"/>
      <c r="Q31" s="288">
        <f>IF(J31="","",ROUND(N31*(1+$T$9),2))</f>
        <v>140.13999999999999</v>
      </c>
      <c r="R31" s="297"/>
      <c r="S31" s="288">
        <f t="shared" ref="S31" si="13">IF(J31="","",ROUND(K31*Q31,2))</f>
        <v>1449.05</v>
      </c>
      <c r="T31" s="289"/>
      <c r="U31" s="290"/>
    </row>
    <row r="32" spans="1:22" x14ac:dyDescent="0.25">
      <c r="A32" s="250"/>
      <c r="B32" s="314" t="s">
        <v>21</v>
      </c>
      <c r="C32" s="314"/>
      <c r="D32" s="314"/>
      <c r="E32" s="314"/>
      <c r="F32" s="314"/>
      <c r="G32" s="314"/>
      <c r="H32" s="314"/>
      <c r="I32" s="314"/>
      <c r="J32" s="314"/>
      <c r="K32" s="314"/>
      <c r="L32" s="314"/>
      <c r="M32" s="314"/>
      <c r="N32" s="314"/>
      <c r="O32" s="314"/>
      <c r="P32" s="314"/>
      <c r="Q32" s="314"/>
      <c r="R32" s="314"/>
      <c r="S32" s="332">
        <f>SUM(S30:U31)</f>
        <v>47859.770000000004</v>
      </c>
      <c r="T32" s="332"/>
      <c r="U32" s="332"/>
    </row>
    <row r="33" spans="1:22" x14ac:dyDescent="0.25">
      <c r="A33" s="34" t="s">
        <v>106</v>
      </c>
      <c r="B33" s="333"/>
      <c r="C33" s="334"/>
      <c r="D33" s="312" t="s">
        <v>149</v>
      </c>
      <c r="E33" s="313"/>
      <c r="F33" s="313"/>
      <c r="G33" s="313"/>
      <c r="H33" s="313"/>
      <c r="I33" s="313"/>
      <c r="J33" s="313"/>
      <c r="K33" s="313"/>
      <c r="L33" s="313"/>
      <c r="M33" s="313"/>
      <c r="N33" s="313"/>
      <c r="O33" s="313"/>
      <c r="P33" s="313"/>
      <c r="Q33" s="313"/>
      <c r="R33" s="313"/>
      <c r="S33" s="313"/>
      <c r="T33" s="313"/>
      <c r="U33" s="325"/>
    </row>
    <row r="34" spans="1:22" x14ac:dyDescent="0.25">
      <c r="A34" s="32" t="s">
        <v>25</v>
      </c>
      <c r="B34" s="16"/>
      <c r="C34" s="1" t="s">
        <v>162</v>
      </c>
      <c r="D34" s="315" t="s">
        <v>151</v>
      </c>
      <c r="E34" s="316"/>
      <c r="F34" s="316"/>
      <c r="G34" s="316"/>
      <c r="H34" s="316"/>
      <c r="I34" s="317"/>
      <c r="J34" s="1" t="s">
        <v>12</v>
      </c>
      <c r="K34" s="318">
        <f>MEMORIA!I81</f>
        <v>8</v>
      </c>
      <c r="L34" s="319"/>
      <c r="M34" s="320"/>
      <c r="N34" s="65">
        <f>'COTAÇÃO 1'!F5</f>
        <v>572.25</v>
      </c>
      <c r="O34" s="321">
        <f t="shared" ref="O34" si="14">IF(J34="","",ROUND(K34*N34,2))</f>
        <v>4578</v>
      </c>
      <c r="P34" s="322"/>
      <c r="Q34" s="321">
        <f>IF(J34="","",ROUND(N34*(1+$T$9),2))</f>
        <v>725.16</v>
      </c>
      <c r="R34" s="322"/>
      <c r="S34" s="321">
        <f t="shared" ref="S34" si="15">IF(J34="","",ROUND(K34*Q34,2))</f>
        <v>5801.28</v>
      </c>
      <c r="T34" s="323"/>
      <c r="U34" s="324"/>
    </row>
    <row r="35" spans="1:22" x14ac:dyDescent="0.25">
      <c r="A35" s="32" t="s">
        <v>150</v>
      </c>
      <c r="B35" s="16" t="str">
        <f>[2]EDIFICAÇÕES!$A$1997</f>
        <v>ED-49497</v>
      </c>
      <c r="C35" s="1" t="s">
        <v>114</v>
      </c>
      <c r="D35" s="315" t="str">
        <f>[2]EDIFICAÇÕES!$C$1997</f>
        <v>POSTE TELECÔNICO RETO, H = 9,00 M EM AÇO GALVANIZADO , (LIVRE)</v>
      </c>
      <c r="E35" s="316"/>
      <c r="F35" s="316"/>
      <c r="G35" s="316"/>
      <c r="H35" s="316"/>
      <c r="I35" s="317"/>
      <c r="J35" s="1" t="s">
        <v>12</v>
      </c>
      <c r="K35" s="318">
        <f>MEMORIA!I87</f>
        <v>4</v>
      </c>
      <c r="L35" s="319"/>
      <c r="M35" s="320"/>
      <c r="N35" s="65">
        <v>1730.58</v>
      </c>
      <c r="O35" s="321">
        <f t="shared" ref="O35" si="16">IF(J35="","",ROUND(K35*N35,2))</f>
        <v>6922.32</v>
      </c>
      <c r="P35" s="322"/>
      <c r="Q35" s="321">
        <f>IF(J35="","",ROUND(N35*(1+$T$9),2))</f>
        <v>2192.9899999999998</v>
      </c>
      <c r="R35" s="322"/>
      <c r="S35" s="321">
        <f t="shared" ref="S35" si="17">IF(J35="","",ROUND(K35*Q35,2))</f>
        <v>8771.9599999999991</v>
      </c>
      <c r="T35" s="323"/>
      <c r="U35" s="324"/>
    </row>
    <row r="36" spans="1:22" x14ac:dyDescent="0.25">
      <c r="A36" s="33"/>
      <c r="B36" s="329" t="s">
        <v>21</v>
      </c>
      <c r="C36" s="330"/>
      <c r="D36" s="330"/>
      <c r="E36" s="330"/>
      <c r="F36" s="330"/>
      <c r="G36" s="330"/>
      <c r="H36" s="330"/>
      <c r="I36" s="330"/>
      <c r="J36" s="330"/>
      <c r="K36" s="330"/>
      <c r="L36" s="330"/>
      <c r="M36" s="330"/>
      <c r="N36" s="330"/>
      <c r="O36" s="330"/>
      <c r="P36" s="330"/>
      <c r="Q36" s="330"/>
      <c r="R36" s="331"/>
      <c r="S36" s="298">
        <f>SUM(S34:U35)</f>
        <v>14573.239999999998</v>
      </c>
      <c r="T36" s="299"/>
      <c r="U36" s="300"/>
    </row>
    <row r="37" spans="1:22" x14ac:dyDescent="0.25">
      <c r="A37" s="34" t="s">
        <v>110</v>
      </c>
      <c r="B37" s="301"/>
      <c r="C37" s="302"/>
      <c r="D37" s="303" t="s">
        <v>144</v>
      </c>
      <c r="E37" s="304"/>
      <c r="F37" s="304"/>
      <c r="G37" s="304"/>
      <c r="H37" s="304"/>
      <c r="I37" s="304"/>
      <c r="J37" s="304"/>
      <c r="K37" s="304"/>
      <c r="L37" s="304"/>
      <c r="M37" s="304"/>
      <c r="N37" s="304"/>
      <c r="O37" s="304"/>
      <c r="P37" s="304"/>
      <c r="Q37" s="304"/>
      <c r="R37" s="304"/>
      <c r="S37" s="304"/>
      <c r="T37" s="304"/>
      <c r="U37" s="305"/>
    </row>
    <row r="38" spans="1:22" ht="45" customHeight="1" x14ac:dyDescent="0.25">
      <c r="A38" s="228" t="s">
        <v>111</v>
      </c>
      <c r="B38" s="231" t="str">
        <f>[2]EDIFICAÇÕES!$A$2916</f>
        <v>ED-48360</v>
      </c>
      <c r="C38" s="257" t="s">
        <v>114</v>
      </c>
      <c r="D38" s="306" t="str">
        <f>[2]EDIFICAÇÕES!$C$2916</f>
        <v>CONJUNTO DE MESA E BANCOS DE CONCRETO PARA JOGOS (02 BANCOS EM ARCO COM D INTERNO = 130 CM E H = 43 CM E MESA COM D = 80 CM, E = 8 CM E H = 75 CM)</v>
      </c>
      <c r="E38" s="307"/>
      <c r="F38" s="307"/>
      <c r="G38" s="307"/>
      <c r="H38" s="307"/>
      <c r="I38" s="308"/>
      <c r="J38" s="257" t="s">
        <v>148</v>
      </c>
      <c r="K38" s="309">
        <f>MEMORIA!I95</f>
        <v>4</v>
      </c>
      <c r="L38" s="310"/>
      <c r="M38" s="311"/>
      <c r="N38" s="232">
        <v>803.69</v>
      </c>
      <c r="O38" s="288">
        <f t="shared" ref="O38:O41" si="18">IF(J38="","",ROUND(K38*N38,2))</f>
        <v>3214.76</v>
      </c>
      <c r="P38" s="297"/>
      <c r="Q38" s="288">
        <f>IF(J38="","",ROUND(N38*(1+$T$9),2))</f>
        <v>1018.44</v>
      </c>
      <c r="R38" s="297"/>
      <c r="S38" s="288">
        <f t="shared" ref="S38:S41" si="19">IF(J38="","",ROUND(K38*Q38,2))</f>
        <v>4073.76</v>
      </c>
      <c r="T38" s="289"/>
      <c r="U38" s="290"/>
    </row>
    <row r="39" spans="1:22" ht="31.2" customHeight="1" x14ac:dyDescent="0.25">
      <c r="A39" s="228" t="s">
        <v>145</v>
      </c>
      <c r="B39" s="231" t="str">
        <f>[2]EDIFICAÇÕES!$A$2788</f>
        <v>ED-50437</v>
      </c>
      <c r="C39" s="257" t="s">
        <v>114</v>
      </c>
      <c r="D39" s="306" t="str">
        <f>[2]EDIFICAÇÕES!$C$2788</f>
        <v>PLANTIO DE GRAMA ESMERALDA EM PLACAS, INCLUSIVE TERRA VEGETAL E CONSERVAÇÃO POR 30 DIAS</v>
      </c>
      <c r="E39" s="307"/>
      <c r="F39" s="307"/>
      <c r="G39" s="307"/>
      <c r="H39" s="307"/>
      <c r="I39" s="308"/>
      <c r="J39" s="257" t="s">
        <v>22</v>
      </c>
      <c r="K39" s="309">
        <f>MEMORIA!I101</f>
        <v>22.9</v>
      </c>
      <c r="L39" s="310"/>
      <c r="M39" s="311"/>
      <c r="N39" s="232">
        <v>27.1</v>
      </c>
      <c r="O39" s="288">
        <f t="shared" si="18"/>
        <v>620.59</v>
      </c>
      <c r="P39" s="297"/>
      <c r="Q39" s="288">
        <f>IF(J39="","",ROUND(N39*(1+$T$9),2))</f>
        <v>34.340000000000003</v>
      </c>
      <c r="R39" s="297"/>
      <c r="S39" s="288">
        <f t="shared" si="19"/>
        <v>786.39</v>
      </c>
      <c r="T39" s="289"/>
      <c r="U39" s="290"/>
    </row>
    <row r="40" spans="1:22" ht="31.8" customHeight="1" x14ac:dyDescent="0.25">
      <c r="A40" s="228" t="s">
        <v>146</v>
      </c>
      <c r="B40" s="231" t="str">
        <f>[2]EDIFICAÇÕES!$A$2792</f>
        <v>ED-50432</v>
      </c>
      <c r="C40" s="257" t="s">
        <v>114</v>
      </c>
      <c r="D40" s="306" t="str">
        <f>[2]EDIFICAÇÕES!$C$2792</f>
        <v>PLANTIO E PREPARO DE COVAS DE ÁRVORES H MÍN. = 1,80 M COM COVA 60 X 60 X 60 CM, EXCETO FORNECIMENTO DAS MUDAS</v>
      </c>
      <c r="E40" s="307"/>
      <c r="F40" s="307"/>
      <c r="G40" s="307"/>
      <c r="H40" s="307"/>
      <c r="I40" s="308"/>
      <c r="J40" s="257" t="s">
        <v>12</v>
      </c>
      <c r="K40" s="309">
        <f>MEMORIA!I107</f>
        <v>4</v>
      </c>
      <c r="L40" s="310"/>
      <c r="M40" s="311"/>
      <c r="N40" s="232">
        <v>12.01</v>
      </c>
      <c r="O40" s="288">
        <f t="shared" si="18"/>
        <v>48.04</v>
      </c>
      <c r="P40" s="297"/>
      <c r="Q40" s="288">
        <f>IF(J40="","",ROUND(N40*(1+$T$9),2))</f>
        <v>15.22</v>
      </c>
      <c r="R40" s="297"/>
      <c r="S40" s="288">
        <f t="shared" si="19"/>
        <v>60.88</v>
      </c>
      <c r="T40" s="289"/>
      <c r="U40" s="290"/>
    </row>
    <row r="41" spans="1:22" ht="25.8" customHeight="1" x14ac:dyDescent="0.25">
      <c r="A41" s="228" t="s">
        <v>147</v>
      </c>
      <c r="B41" s="231"/>
      <c r="C41" s="257" t="s">
        <v>238</v>
      </c>
      <c r="D41" s="306" t="s">
        <v>237</v>
      </c>
      <c r="E41" s="307"/>
      <c r="F41" s="307"/>
      <c r="G41" s="307"/>
      <c r="H41" s="307"/>
      <c r="I41" s="308"/>
      <c r="J41" s="257" t="s">
        <v>12</v>
      </c>
      <c r="K41" s="309">
        <f>MEMORIA!I113</f>
        <v>4</v>
      </c>
      <c r="L41" s="310"/>
      <c r="M41" s="311"/>
      <c r="N41" s="232">
        <f>'COTAÇÃO 2'!F5</f>
        <v>534.25</v>
      </c>
      <c r="O41" s="288">
        <f t="shared" si="18"/>
        <v>2137</v>
      </c>
      <c r="P41" s="297"/>
      <c r="Q41" s="288">
        <f>IF(J41="","",ROUND(N41*(1+$T$9),2))</f>
        <v>677</v>
      </c>
      <c r="R41" s="297"/>
      <c r="S41" s="288">
        <f t="shared" si="19"/>
        <v>2708</v>
      </c>
      <c r="T41" s="289"/>
      <c r="U41" s="290"/>
    </row>
    <row r="42" spans="1:22" x14ac:dyDescent="0.25">
      <c r="A42" s="33"/>
      <c r="B42" s="329" t="s">
        <v>21</v>
      </c>
      <c r="C42" s="330"/>
      <c r="D42" s="330"/>
      <c r="E42" s="330"/>
      <c r="F42" s="330"/>
      <c r="G42" s="330"/>
      <c r="H42" s="330"/>
      <c r="I42" s="330"/>
      <c r="J42" s="330"/>
      <c r="K42" s="330"/>
      <c r="L42" s="330"/>
      <c r="M42" s="330"/>
      <c r="N42" s="330"/>
      <c r="O42" s="330"/>
      <c r="P42" s="330"/>
      <c r="Q42" s="330"/>
      <c r="R42" s="331"/>
      <c r="S42" s="298">
        <f>SUM(S38:U41)</f>
        <v>7629.0300000000007</v>
      </c>
      <c r="T42" s="299"/>
      <c r="U42" s="300"/>
    </row>
    <row r="43" spans="1:22" x14ac:dyDescent="0.25">
      <c r="A43" s="34" t="s">
        <v>112</v>
      </c>
      <c r="B43" s="301"/>
      <c r="C43" s="302"/>
      <c r="D43" s="303" t="s">
        <v>235</v>
      </c>
      <c r="E43" s="304"/>
      <c r="F43" s="304"/>
      <c r="G43" s="304"/>
      <c r="H43" s="304"/>
      <c r="I43" s="304"/>
      <c r="J43" s="304"/>
      <c r="K43" s="304"/>
      <c r="L43" s="304"/>
      <c r="M43" s="304"/>
      <c r="N43" s="304"/>
      <c r="O43" s="304"/>
      <c r="P43" s="304"/>
      <c r="Q43" s="304"/>
      <c r="R43" s="304"/>
      <c r="S43" s="304"/>
      <c r="T43" s="304"/>
      <c r="U43" s="305"/>
    </row>
    <row r="44" spans="1:22" s="46" customFormat="1" ht="29.4" customHeight="1" x14ac:dyDescent="0.25">
      <c r="A44" s="32" t="s">
        <v>113</v>
      </c>
      <c r="B44" s="229" t="str">
        <f>[2]RODOVIÁRIAS!$A$675</f>
        <v>RO-51229</v>
      </c>
      <c r="C44" s="239" t="s">
        <v>114</v>
      </c>
      <c r="D44" s="291" t="str">
        <f>[2]RODOVIÁRIAS!$C$675</f>
        <v>PINTURA DE LIGAÇÃO (EXECUÇÃO E FORNECIMENTO DO MATERIAL BETUMINOSO, EXCLUSIVE TRANSPORTE DO MATERIAL BETUMINOSO)</v>
      </c>
      <c r="E44" s="292"/>
      <c r="F44" s="292"/>
      <c r="G44" s="292"/>
      <c r="H44" s="292"/>
      <c r="I44" s="293"/>
      <c r="J44" s="239" t="s">
        <v>22</v>
      </c>
      <c r="K44" s="294">
        <f>MEMORIA!I122</f>
        <v>131.79</v>
      </c>
      <c r="L44" s="295"/>
      <c r="M44" s="296"/>
      <c r="N44" s="230">
        <v>2.36</v>
      </c>
      <c r="O44" s="288">
        <f t="shared" ref="O44:O46" si="20">IF(J44="","",ROUND(K44*N44,2))</f>
        <v>311.02</v>
      </c>
      <c r="P44" s="297"/>
      <c r="Q44" s="288">
        <f>IF(J44="","",ROUND(N44*(1+$J$9),2))</f>
        <v>2.98</v>
      </c>
      <c r="R44" s="297"/>
      <c r="S44" s="288">
        <f t="shared" ref="S44:S46" si="21">IF(J44="","",ROUND(K44*Q44,2))</f>
        <v>392.73</v>
      </c>
      <c r="T44" s="289"/>
      <c r="U44" s="290"/>
      <c r="V44" s="57"/>
    </row>
    <row r="45" spans="1:22" s="46" customFormat="1" ht="62.4" customHeight="1" x14ac:dyDescent="0.25">
      <c r="A45" s="32" t="s">
        <v>152</v>
      </c>
      <c r="B45" s="229" t="str">
        <f>[2]RODOVIÁRIAS!$A$684</f>
        <v>RO-14019</v>
      </c>
      <c r="C45" s="239" t="s">
        <v>114</v>
      </c>
      <c r="D45" s="291" t="str">
        <f>[2]RODOVIÁRIAS!$C$684</f>
        <v>CONCRETO BETUMINOSO USINADO A QUENTE - CBUQ (EXECUÇÃO, INCLUINDO USINAGEM, APLICAÇÃO, ESPALHAMENTO E COMPACTAÇÃO, FORNECIMENTO DOS AGREGADOS E MATERIAL BETUMINOSO, EXCLUI TRANSPORTE DOS AGREGADOS E DO MATERIAL BETUMINOSO ATÉ USINA E DA MASSA PRONTA ATÉ A  PISTA)</v>
      </c>
      <c r="E45" s="292"/>
      <c r="F45" s="292"/>
      <c r="G45" s="292"/>
      <c r="H45" s="292"/>
      <c r="I45" s="293"/>
      <c r="J45" s="239" t="s">
        <v>103</v>
      </c>
      <c r="K45" s="294">
        <f>MEMORIA!I128</f>
        <v>5.27</v>
      </c>
      <c r="L45" s="295"/>
      <c r="M45" s="296"/>
      <c r="N45" s="230">
        <v>1228.1199999999999</v>
      </c>
      <c r="O45" s="288">
        <f t="shared" ref="O45" si="22">IF(J45="","",ROUND(K45*N45,2))</f>
        <v>6472.19</v>
      </c>
      <c r="P45" s="297"/>
      <c r="Q45" s="288">
        <f>IF(J45="","",ROUND(N45*(1+$J$9),2))</f>
        <v>1549.4</v>
      </c>
      <c r="R45" s="297"/>
      <c r="S45" s="288">
        <f t="shared" ref="S45" si="23">IF(J45="","",ROUND(K45*Q45,2))</f>
        <v>8165.34</v>
      </c>
      <c r="T45" s="289"/>
      <c r="U45" s="290"/>
      <c r="V45" s="57"/>
    </row>
    <row r="46" spans="1:22" s="46" customFormat="1" ht="29.4" customHeight="1" x14ac:dyDescent="0.25">
      <c r="A46" s="32" t="s">
        <v>153</v>
      </c>
      <c r="B46" s="229" t="str">
        <f>[2]RODOVIÁRIAS!$A$957</f>
        <v>RO-14038</v>
      </c>
      <c r="C46" s="239" t="s">
        <v>114</v>
      </c>
      <c r="D46" s="291" t="str">
        <f>[2]RODOVIÁRIAS!$C$957</f>
        <v>TRANSPORTE DE CONCRETO BETUMINOSO USINADO A QUENTE. DISTÂNCIA MÉDIA DE TRANSPORTE &gt; 50,00 KM (VOLUME COMPACTADO)</v>
      </c>
      <c r="E46" s="292"/>
      <c r="F46" s="292"/>
      <c r="G46" s="292"/>
      <c r="H46" s="292"/>
      <c r="I46" s="293"/>
      <c r="J46" s="239" t="str">
        <f>[2]RODOVIÁRIAS!$D$957</f>
        <v>M3XKM</v>
      </c>
      <c r="K46" s="294">
        <f>MEMORIA!I134</f>
        <v>6.66</v>
      </c>
      <c r="L46" s="295"/>
      <c r="M46" s="296"/>
      <c r="N46" s="230">
        <v>1.78</v>
      </c>
      <c r="O46" s="288">
        <f t="shared" si="20"/>
        <v>11.85</v>
      </c>
      <c r="P46" s="297"/>
      <c r="Q46" s="288">
        <f>IF(J46="","",ROUND(N46*(1+$J$9),2))</f>
        <v>2.25</v>
      </c>
      <c r="R46" s="297"/>
      <c r="S46" s="288">
        <f t="shared" si="21"/>
        <v>14.99</v>
      </c>
      <c r="T46" s="289"/>
      <c r="U46" s="290"/>
      <c r="V46" s="57"/>
    </row>
    <row r="47" spans="1:22" s="46" customFormat="1" ht="29.4" customHeight="1" x14ac:dyDescent="0.25">
      <c r="A47" s="32" t="s">
        <v>154</v>
      </c>
      <c r="B47" s="229" t="str">
        <f>[2]RODOVIÁRIAS!$A$957</f>
        <v>RO-14038</v>
      </c>
      <c r="C47" s="239" t="s">
        <v>114</v>
      </c>
      <c r="D47" s="291" t="str">
        <f>[2]RODOVIÁRIAS!$C$957</f>
        <v>TRANSPORTE DE CONCRETO BETUMINOSO USINADO A QUENTE. DISTÂNCIA MÉDIA DE TRANSPORTE &gt; 50,00 KM (VOLUME COMPACTADO)</v>
      </c>
      <c r="E47" s="292"/>
      <c r="F47" s="292"/>
      <c r="G47" s="292"/>
      <c r="H47" s="292"/>
      <c r="I47" s="293"/>
      <c r="J47" s="239" t="str">
        <f>[2]RODOVIÁRIAS!$D$957</f>
        <v>M3XKM</v>
      </c>
      <c r="K47" s="294">
        <f>MEMORIA!I140</f>
        <v>76.650000000000006</v>
      </c>
      <c r="L47" s="295"/>
      <c r="M47" s="296"/>
      <c r="N47" s="230">
        <v>1.78</v>
      </c>
      <c r="O47" s="288">
        <f t="shared" ref="O47" si="24">IF(J47="","",ROUND(K47*N47,2))</f>
        <v>136.44</v>
      </c>
      <c r="P47" s="297"/>
      <c r="Q47" s="288">
        <f>IF(J47="","",ROUND(N47*(1+$J$9),2))</f>
        <v>2.25</v>
      </c>
      <c r="R47" s="297"/>
      <c r="S47" s="288">
        <f t="shared" ref="S47" si="25">IF(J47="","",ROUND(K47*Q47,2))</f>
        <v>172.46</v>
      </c>
      <c r="T47" s="289"/>
      <c r="U47" s="290"/>
      <c r="V47" s="57"/>
    </row>
    <row r="48" spans="1:22" s="46" customFormat="1" ht="27" customHeight="1" x14ac:dyDescent="0.25">
      <c r="A48" s="32" t="s">
        <v>155</v>
      </c>
      <c r="B48" s="229" t="str">
        <f>[2]RODOVIÁRIAS!$A$957</f>
        <v>RO-14038</v>
      </c>
      <c r="C48" s="220" t="s">
        <v>114</v>
      </c>
      <c r="D48" s="291" t="str">
        <f>[2]RODOVIÁRIAS!$C$957</f>
        <v>TRANSPORTE DE CONCRETO BETUMINOSO USINADO A QUENTE. DISTÂNCIA MÉDIA DE TRANSPORTE &gt; 50,00 KM (VOLUME COMPACTADO)</v>
      </c>
      <c r="E48" s="292"/>
      <c r="F48" s="292"/>
      <c r="G48" s="292"/>
      <c r="H48" s="292"/>
      <c r="I48" s="293"/>
      <c r="J48" s="220" t="str">
        <f>[2]RODOVIÁRIAS!$D$957</f>
        <v>M3XKM</v>
      </c>
      <c r="K48" s="294">
        <f>MEMORIA!I146</f>
        <v>1277.45</v>
      </c>
      <c r="L48" s="295"/>
      <c r="M48" s="296"/>
      <c r="N48" s="230">
        <v>1.78</v>
      </c>
      <c r="O48" s="288">
        <f>IF(J48="","",ROUND(K48*N48,2))</f>
        <v>2273.86</v>
      </c>
      <c r="P48" s="297"/>
      <c r="Q48" s="288">
        <f>IF(J48="","",ROUND(N48*(1+$J$9),2))</f>
        <v>2.25</v>
      </c>
      <c r="R48" s="297"/>
      <c r="S48" s="288">
        <f>IF(J48="","",ROUND(K48*Q48,2))</f>
        <v>2874.26</v>
      </c>
      <c r="T48" s="289"/>
      <c r="U48" s="290"/>
      <c r="V48" s="57"/>
    </row>
    <row r="49" spans="1:22" s="46" customFormat="1" ht="25.2" customHeight="1" x14ac:dyDescent="0.25">
      <c r="A49" s="32" t="s">
        <v>156</v>
      </c>
      <c r="B49" s="229" t="str">
        <f>[2]RODOVIÁRIAS!$A$934</f>
        <v>RO-41345</v>
      </c>
      <c r="C49" s="239" t="s">
        <v>114</v>
      </c>
      <c r="D49" s="291" t="str">
        <f>[2]RODOVIÁRIAS!$C$934</f>
        <v>TRANSPORTE DE AGREGADOS PARA CONSERVAÇÃO. DISTÂNCIA MÉDIA DE TRANSPORTE &lt;= 10,00 KM</v>
      </c>
      <c r="E49" s="292"/>
      <c r="F49" s="292"/>
      <c r="G49" s="292"/>
      <c r="H49" s="292"/>
      <c r="I49" s="293"/>
      <c r="J49" s="239" t="str">
        <f>[2]RODOVIÁRIAS!$D$934</f>
        <v>M3XKM</v>
      </c>
      <c r="K49" s="294">
        <f>MEMORIA!I152</f>
        <v>6.06</v>
      </c>
      <c r="L49" s="295"/>
      <c r="M49" s="296"/>
      <c r="N49" s="230">
        <v>1.83</v>
      </c>
      <c r="O49" s="288">
        <f>IF(J49="","",ROUND(K49*N49,2))</f>
        <v>11.09</v>
      </c>
      <c r="P49" s="297"/>
      <c r="Q49" s="288">
        <f>IF(J49="","",ROUND(N49*(1+$J$9),2))</f>
        <v>2.31</v>
      </c>
      <c r="R49" s="297"/>
      <c r="S49" s="288">
        <f>IF(J49="","",ROUND(K49*Q49,2))</f>
        <v>14</v>
      </c>
      <c r="T49" s="289"/>
      <c r="U49" s="290"/>
      <c r="V49" s="57"/>
    </row>
    <row r="50" spans="1:22" s="46" customFormat="1" ht="25.2" customHeight="1" x14ac:dyDescent="0.25">
      <c r="A50" s="32" t="s">
        <v>157</v>
      </c>
      <c r="B50" s="229" t="str">
        <f>[2]RODOVIÁRIAS!$A$934</f>
        <v>RO-41345</v>
      </c>
      <c r="C50" s="239" t="s">
        <v>114</v>
      </c>
      <c r="D50" s="291" t="str">
        <f>[2]RODOVIÁRIAS!$C$934</f>
        <v>TRANSPORTE DE AGREGADOS PARA CONSERVAÇÃO. DISTÂNCIA MÉDIA DE TRANSPORTE &lt;= 10,00 KM</v>
      </c>
      <c r="E50" s="292"/>
      <c r="F50" s="292"/>
      <c r="G50" s="292"/>
      <c r="H50" s="292"/>
      <c r="I50" s="293"/>
      <c r="J50" s="239" t="str">
        <f>[2]RODOVIÁRIAS!$D$934</f>
        <v>M3XKM</v>
      </c>
      <c r="K50" s="294">
        <f>MEMORIA!I158</f>
        <v>34.78</v>
      </c>
      <c r="L50" s="295"/>
      <c r="M50" s="296"/>
      <c r="N50" s="230">
        <v>1.83</v>
      </c>
      <c r="O50" s="288">
        <f>IF(J50="","",ROUND(K50*N50,2))</f>
        <v>63.65</v>
      </c>
      <c r="P50" s="297"/>
      <c r="Q50" s="288">
        <f>IF(J50="","",ROUND(N50*(1+$J$9),2))</f>
        <v>2.31</v>
      </c>
      <c r="R50" s="297"/>
      <c r="S50" s="288">
        <f>IF(J50="","",ROUND(K50*Q50,2))</f>
        <v>80.34</v>
      </c>
      <c r="T50" s="289"/>
      <c r="U50" s="290"/>
      <c r="V50" s="57"/>
    </row>
    <row r="51" spans="1:22" s="46" customFormat="1" ht="39" customHeight="1" x14ac:dyDescent="0.25">
      <c r="A51" s="32" t="s">
        <v>158</v>
      </c>
      <c r="B51" s="229" t="str">
        <f>[2]RODOVIÁRIAS!$A$768</f>
        <v>RO-41779</v>
      </c>
      <c r="C51" s="239" t="s">
        <v>114</v>
      </c>
      <c r="D51" s="291" t="str">
        <f>[2]RODOVIÁRIAS!$C$768</f>
        <v>SETAS, SIMBOLOS E DIZERES DE RESINA ACRÍLICA 0,6MM DE ESPESSURA (EXECUÇÃO, INCLUINDO PRÉ-MARCAÇÃO, FORNECIMENTO E TRANSPORTE DE TODOS OS MATERIAIS)</v>
      </c>
      <c r="E51" s="292"/>
      <c r="F51" s="292"/>
      <c r="G51" s="292"/>
      <c r="H51" s="292"/>
      <c r="I51" s="293"/>
      <c r="J51" s="239" t="s">
        <v>22</v>
      </c>
      <c r="K51" s="294">
        <f>MEMORIA!I165</f>
        <v>31.22</v>
      </c>
      <c r="L51" s="295"/>
      <c r="M51" s="296"/>
      <c r="N51" s="230">
        <v>36.130000000000003</v>
      </c>
      <c r="O51" s="288">
        <f t="shared" ref="O51:O53" si="26">IF(J51="","",ROUND(K51*N51,2))</f>
        <v>1127.98</v>
      </c>
      <c r="P51" s="297"/>
      <c r="Q51" s="288">
        <f>IF(J51="","",ROUND(N51*(1+$J$9),2))</f>
        <v>45.58</v>
      </c>
      <c r="R51" s="297"/>
      <c r="S51" s="288">
        <f t="shared" ref="S51:S53" si="27">IF(J51="","",ROUND(K51*Q51,2))</f>
        <v>1423.01</v>
      </c>
      <c r="T51" s="289"/>
      <c r="U51" s="290"/>
      <c r="V51" s="57"/>
    </row>
    <row r="52" spans="1:22" s="46" customFormat="1" ht="38.4" customHeight="1" x14ac:dyDescent="0.25">
      <c r="A52" s="32" t="s">
        <v>163</v>
      </c>
      <c r="B52" s="229" t="str">
        <f>[2]RODOVIÁRIAS!$A$764</f>
        <v>RO-41237</v>
      </c>
      <c r="C52" s="239" t="s">
        <v>114</v>
      </c>
      <c r="D52" s="291" t="str">
        <f>[2]RODOVIÁRIAS!$C$764</f>
        <v>LINHAS DE RESINA ACRILICA DE  0,6MM  DE ESPESSURA E LARGURA  = 0,10M (EXECUÇÃO, INCLUINDO PRÉ-MARCAÇÃO, FORNECIMENTO E TRANSPORTE DE TODOS OS MATERIAIS)</v>
      </c>
      <c r="E52" s="292"/>
      <c r="F52" s="292"/>
      <c r="G52" s="292"/>
      <c r="H52" s="292"/>
      <c r="I52" s="293"/>
      <c r="J52" s="239" t="s">
        <v>104</v>
      </c>
      <c r="K52" s="294">
        <f>MEMORIA!I171</f>
        <v>34.799999999999997</v>
      </c>
      <c r="L52" s="295"/>
      <c r="M52" s="296"/>
      <c r="N52" s="230">
        <v>2.5</v>
      </c>
      <c r="O52" s="288">
        <f t="shared" si="26"/>
        <v>87</v>
      </c>
      <c r="P52" s="297"/>
      <c r="Q52" s="288">
        <f>IF(J52="","",ROUND(N52*(1+$J$9),2))</f>
        <v>3.15</v>
      </c>
      <c r="R52" s="297"/>
      <c r="S52" s="288">
        <f t="shared" si="27"/>
        <v>109.62</v>
      </c>
      <c r="T52" s="289"/>
      <c r="U52" s="290"/>
      <c r="V52" s="57"/>
    </row>
    <row r="53" spans="1:22" s="46" customFormat="1" ht="53.4" customHeight="1" x14ac:dyDescent="0.25">
      <c r="A53" s="32" t="s">
        <v>202</v>
      </c>
      <c r="B53" s="229" t="str">
        <f>[2]RODOVIÁRIAS!$A$811</f>
        <v>RO-42193</v>
      </c>
      <c r="C53" s="239" t="s">
        <v>114</v>
      </c>
      <c r="D53" s="291" t="str">
        <f>[2]RODOVIÁRIAS!$C$811</f>
        <v>PLACA DE AÇO CARBONO COM PELÍCULA REFLETIVA GRAU TÉCNICO TIPO I DA ABNT - PLACA RETANGULAR (EXECUÇÃO, INCLUINDO FORNECIMENTO E TRANSPORTE DE TODOS OS MATERIAIS, INCLUSIVE POSTE DE SUSTENTAÇÃO)</v>
      </c>
      <c r="E53" s="292"/>
      <c r="F53" s="292"/>
      <c r="G53" s="292"/>
      <c r="H53" s="292"/>
      <c r="I53" s="293"/>
      <c r="J53" s="239" t="s">
        <v>22</v>
      </c>
      <c r="K53" s="294">
        <f>MEMORIA!I177</f>
        <v>0.35</v>
      </c>
      <c r="L53" s="295"/>
      <c r="M53" s="296"/>
      <c r="N53" s="230">
        <v>452.25</v>
      </c>
      <c r="O53" s="288">
        <f t="shared" si="26"/>
        <v>158.29</v>
      </c>
      <c r="P53" s="297"/>
      <c r="Q53" s="288">
        <f>IF(J53="","",ROUND(N53*(1+$J$9),2))</f>
        <v>570.55999999999995</v>
      </c>
      <c r="R53" s="297"/>
      <c r="S53" s="288">
        <f t="shared" si="27"/>
        <v>199.7</v>
      </c>
      <c r="T53" s="289"/>
      <c r="U53" s="290"/>
      <c r="V53" s="57"/>
    </row>
    <row r="54" spans="1:22" ht="14.4" customHeight="1" x14ac:dyDescent="0.25">
      <c r="A54" s="75"/>
      <c r="B54" s="329" t="s">
        <v>26</v>
      </c>
      <c r="C54" s="330"/>
      <c r="D54" s="330"/>
      <c r="E54" s="330"/>
      <c r="F54" s="330"/>
      <c r="G54" s="330"/>
      <c r="H54" s="330"/>
      <c r="I54" s="330"/>
      <c r="J54" s="330"/>
      <c r="K54" s="330"/>
      <c r="L54" s="330"/>
      <c r="M54" s="330"/>
      <c r="N54" s="330"/>
      <c r="O54" s="330"/>
      <c r="P54" s="330"/>
      <c r="Q54" s="330"/>
      <c r="R54" s="331"/>
      <c r="S54" s="391">
        <f>SUM(S44:U53)</f>
        <v>13446.45</v>
      </c>
      <c r="T54" s="392"/>
      <c r="U54" s="393"/>
    </row>
    <row r="55" spans="1:22" x14ac:dyDescent="0.25">
      <c r="A55" s="34" t="s">
        <v>159</v>
      </c>
      <c r="B55" s="301"/>
      <c r="C55" s="302"/>
      <c r="D55" s="303" t="s">
        <v>160</v>
      </c>
      <c r="E55" s="304"/>
      <c r="F55" s="304"/>
      <c r="G55" s="304"/>
      <c r="H55" s="304"/>
      <c r="I55" s="304"/>
      <c r="J55" s="304"/>
      <c r="K55" s="304"/>
      <c r="L55" s="304"/>
      <c r="M55" s="304"/>
      <c r="N55" s="304"/>
      <c r="O55" s="304"/>
      <c r="P55" s="304"/>
      <c r="Q55" s="304"/>
      <c r="R55" s="304"/>
      <c r="S55" s="304"/>
      <c r="T55" s="304"/>
      <c r="U55" s="305"/>
    </row>
    <row r="56" spans="1:22" s="46" customFormat="1" ht="29.4" customHeight="1" x14ac:dyDescent="0.25">
      <c r="A56" s="32" t="s">
        <v>161</v>
      </c>
      <c r="B56" s="229" t="str">
        <f>[2]EDIFICAÇÕES!$A$2946</f>
        <v>ED-50266</v>
      </c>
      <c r="C56" s="239" t="s">
        <v>114</v>
      </c>
      <c r="D56" s="291" t="str">
        <f>[2]EDIFICAÇÕES!$C$2946</f>
        <v>LIMPEZA FINAL PARA ENTREGA DA OBRA</v>
      </c>
      <c r="E56" s="292"/>
      <c r="F56" s="292"/>
      <c r="G56" s="292"/>
      <c r="H56" s="292"/>
      <c r="I56" s="293"/>
      <c r="J56" s="239" t="s">
        <v>22</v>
      </c>
      <c r="K56" s="294">
        <f>MEMORIA!I185</f>
        <v>601.32000000000005</v>
      </c>
      <c r="L56" s="295"/>
      <c r="M56" s="296"/>
      <c r="N56" s="230">
        <v>5.86</v>
      </c>
      <c r="O56" s="288">
        <f t="shared" ref="O56" si="28">IF(J56="","",ROUND(K56*N56,2))</f>
        <v>3523.74</v>
      </c>
      <c r="P56" s="297"/>
      <c r="Q56" s="288">
        <f>IF(J56="","",ROUND(N56*(1+$T$9),2))</f>
        <v>7.43</v>
      </c>
      <c r="R56" s="297"/>
      <c r="S56" s="288">
        <f t="shared" ref="S56" si="29">IF(J56="","",ROUND(K56*Q56,2))</f>
        <v>4467.8100000000004</v>
      </c>
      <c r="T56" s="289"/>
      <c r="U56" s="290"/>
      <c r="V56" s="57"/>
    </row>
    <row r="57" spans="1:22" ht="14.4" customHeight="1" x14ac:dyDescent="0.25">
      <c r="A57" s="75"/>
      <c r="B57" s="329" t="s">
        <v>26</v>
      </c>
      <c r="C57" s="330"/>
      <c r="D57" s="330"/>
      <c r="E57" s="330"/>
      <c r="F57" s="330"/>
      <c r="G57" s="330"/>
      <c r="H57" s="330"/>
      <c r="I57" s="330"/>
      <c r="J57" s="330"/>
      <c r="K57" s="330"/>
      <c r="L57" s="330"/>
      <c r="M57" s="330"/>
      <c r="N57" s="330"/>
      <c r="O57" s="330"/>
      <c r="P57" s="330"/>
      <c r="Q57" s="330"/>
      <c r="R57" s="331"/>
      <c r="S57" s="391">
        <f>SUM(S56)</f>
        <v>4467.8100000000004</v>
      </c>
      <c r="T57" s="392"/>
      <c r="U57" s="393"/>
    </row>
    <row r="58" spans="1:22" x14ac:dyDescent="0.25">
      <c r="A58" s="388"/>
      <c r="B58" s="389"/>
      <c r="C58" s="389"/>
      <c r="D58" s="389"/>
      <c r="E58" s="389"/>
      <c r="F58" s="389"/>
      <c r="G58" s="389"/>
      <c r="H58" s="389"/>
      <c r="I58" s="389"/>
      <c r="J58" s="389"/>
      <c r="K58" s="389"/>
      <c r="L58" s="389"/>
      <c r="M58" s="389"/>
      <c r="N58" s="389"/>
      <c r="O58" s="389"/>
      <c r="P58" s="389"/>
      <c r="Q58" s="389"/>
      <c r="R58" s="389"/>
      <c r="S58" s="389"/>
      <c r="T58" s="389"/>
      <c r="U58" s="390"/>
      <c r="V58" s="56"/>
    </row>
    <row r="59" spans="1:22" ht="20.25" customHeight="1" thickBot="1" x14ac:dyDescent="0.3">
      <c r="A59" s="407" t="s">
        <v>27</v>
      </c>
      <c r="B59" s="408"/>
      <c r="C59" s="408"/>
      <c r="D59" s="408"/>
      <c r="E59" s="408"/>
      <c r="F59" s="408"/>
      <c r="G59" s="408"/>
      <c r="H59" s="408"/>
      <c r="I59" s="408"/>
      <c r="J59" s="408"/>
      <c r="K59" s="408"/>
      <c r="L59" s="408"/>
      <c r="M59" s="408"/>
      <c r="N59" s="408"/>
      <c r="O59" s="408"/>
      <c r="P59" s="408"/>
      <c r="Q59" s="408"/>
      <c r="R59" s="409"/>
      <c r="S59" s="401">
        <f>SUM(S17+S24+S28+S32+S36+S42+S54+S57)</f>
        <v>109610.14</v>
      </c>
      <c r="T59" s="402"/>
      <c r="U59" s="403"/>
      <c r="V59" s="181">
        <f>SUM(O16:P56)</f>
        <v>86541.739999999976</v>
      </c>
    </row>
    <row r="60" spans="1:22" ht="29.25" customHeight="1" thickBot="1" x14ac:dyDescent="0.3">
      <c r="A60" s="404" t="s">
        <v>28</v>
      </c>
      <c r="B60" s="405"/>
      <c r="C60" s="405"/>
      <c r="D60" s="405"/>
      <c r="E60" s="405"/>
      <c r="F60" s="405"/>
      <c r="G60" s="405"/>
      <c r="H60" s="405"/>
      <c r="I60" s="405"/>
      <c r="J60" s="405"/>
      <c r="K60" s="405"/>
      <c r="L60" s="405"/>
      <c r="M60" s="405"/>
      <c r="N60" s="405"/>
      <c r="O60" s="405"/>
      <c r="P60" s="405"/>
      <c r="Q60" s="405"/>
      <c r="R60" s="405"/>
      <c r="S60" s="405"/>
      <c r="T60" s="405"/>
      <c r="U60" s="406"/>
    </row>
    <row r="61" spans="1:22" ht="16.5" customHeight="1" thickBot="1" x14ac:dyDescent="0.3">
      <c r="A61" s="396" t="s">
        <v>297</v>
      </c>
      <c r="B61" s="397"/>
      <c r="C61" s="397"/>
      <c r="D61" s="397"/>
      <c r="E61" s="397"/>
      <c r="F61" s="397"/>
      <c r="G61" s="397"/>
      <c r="H61" s="397"/>
      <c r="I61" s="397"/>
      <c r="J61" s="397"/>
      <c r="K61" s="397"/>
      <c r="L61" s="397"/>
      <c r="M61" s="397"/>
      <c r="N61" s="397"/>
      <c r="O61" s="397"/>
      <c r="P61" s="397"/>
      <c r="Q61" s="397"/>
      <c r="R61" s="397"/>
      <c r="S61" s="397"/>
      <c r="T61" s="397"/>
      <c r="U61" s="398"/>
    </row>
    <row r="62" spans="1:22" ht="9.75" customHeight="1" x14ac:dyDescent="0.25">
      <c r="A62" s="191"/>
      <c r="B62" s="192"/>
      <c r="C62" s="192"/>
      <c r="D62" s="192"/>
      <c r="E62" s="192"/>
      <c r="F62" s="192"/>
      <c r="G62" s="192"/>
      <c r="H62" s="192"/>
      <c r="I62" s="192"/>
      <c r="J62" s="192"/>
      <c r="K62" s="192"/>
      <c r="L62" s="192"/>
      <c r="M62" s="192"/>
      <c r="N62" s="192"/>
      <c r="O62" s="192"/>
      <c r="P62" s="192"/>
      <c r="Q62" s="192"/>
      <c r="R62" s="192"/>
      <c r="S62" s="192"/>
      <c r="T62" s="192"/>
      <c r="U62" s="48"/>
    </row>
    <row r="63" spans="1:22" ht="9.75" customHeight="1" x14ac:dyDescent="0.25">
      <c r="A63" s="191"/>
      <c r="B63" s="192"/>
      <c r="C63" s="192"/>
      <c r="D63" s="192"/>
      <c r="E63" s="192"/>
      <c r="F63" s="192"/>
      <c r="G63" s="192"/>
      <c r="H63" s="192"/>
      <c r="I63" s="192"/>
      <c r="J63" s="192"/>
      <c r="K63" s="192"/>
      <c r="L63" s="192"/>
      <c r="M63" s="192"/>
      <c r="N63" s="192"/>
      <c r="O63" s="192"/>
      <c r="P63" s="192"/>
      <c r="Q63" s="192"/>
      <c r="R63" s="192"/>
      <c r="S63" s="192"/>
      <c r="T63" s="192"/>
      <c r="U63" s="48"/>
    </row>
    <row r="64" spans="1:22" ht="36" customHeight="1" x14ac:dyDescent="0.25">
      <c r="A64" s="191"/>
      <c r="B64" s="192"/>
      <c r="C64" s="192"/>
      <c r="D64" s="192"/>
      <c r="E64" s="192"/>
      <c r="F64" s="192"/>
      <c r="G64" s="192"/>
      <c r="H64" s="192"/>
      <c r="I64" s="192"/>
      <c r="J64" s="192"/>
      <c r="K64" s="192"/>
      <c r="L64" s="192"/>
      <c r="M64" s="192"/>
      <c r="N64" s="192"/>
      <c r="O64" s="192"/>
      <c r="P64" s="192"/>
      <c r="Q64" s="192"/>
      <c r="R64" s="192"/>
      <c r="S64" s="192"/>
      <c r="T64" s="192"/>
      <c r="U64" s="48"/>
    </row>
    <row r="65" spans="1:21" ht="22.2" customHeight="1" x14ac:dyDescent="0.25">
      <c r="A65" s="191"/>
      <c r="B65" s="784" t="s">
        <v>295</v>
      </c>
      <c r="C65" s="784"/>
      <c r="D65" s="784"/>
      <c r="E65" s="784"/>
      <c r="F65" s="784"/>
      <c r="G65" s="784"/>
      <c r="H65" s="782"/>
      <c r="I65" s="255"/>
      <c r="J65" s="255"/>
      <c r="K65" s="74"/>
      <c r="L65" s="784" t="s">
        <v>296</v>
      </c>
      <c r="M65" s="784"/>
      <c r="N65" s="784"/>
      <c r="O65" s="784"/>
      <c r="P65" s="784"/>
      <c r="Q65" s="784"/>
      <c r="R65" s="784"/>
      <c r="S65" s="784"/>
      <c r="T65" s="784"/>
      <c r="U65" s="793"/>
    </row>
    <row r="66" spans="1:21" ht="9.75" customHeight="1" x14ac:dyDescent="0.25">
      <c r="A66" s="191"/>
      <c r="B66" s="782"/>
      <c r="C66" s="782"/>
      <c r="D66" s="782"/>
      <c r="E66" s="782"/>
      <c r="F66" s="782"/>
      <c r="G66" s="782"/>
      <c r="H66" s="782"/>
      <c r="I66" s="134"/>
      <c r="J66" s="134"/>
      <c r="K66" s="134"/>
      <c r="L66" s="782"/>
      <c r="M66" s="782"/>
      <c r="N66" s="782"/>
      <c r="O66" s="782"/>
      <c r="P66" s="782"/>
      <c r="Q66" s="782"/>
      <c r="R66" s="782"/>
      <c r="S66" s="782"/>
      <c r="T66" s="782"/>
      <c r="U66" s="783"/>
    </row>
    <row r="67" spans="1:21" ht="8.4" customHeight="1" x14ac:dyDescent="0.25">
      <c r="A67" s="191"/>
      <c r="B67" s="782"/>
      <c r="C67" s="782"/>
      <c r="D67" s="782"/>
      <c r="E67" s="782"/>
      <c r="F67" s="782"/>
      <c r="G67" s="782"/>
      <c r="H67" s="782"/>
      <c r="I67" s="134"/>
      <c r="J67" s="134"/>
      <c r="K67" s="134"/>
      <c r="L67" s="782"/>
      <c r="M67" s="782"/>
      <c r="N67" s="782"/>
      <c r="O67" s="782"/>
      <c r="P67" s="782"/>
      <c r="Q67" s="782"/>
      <c r="R67" s="782"/>
      <c r="S67" s="782"/>
      <c r="T67" s="782"/>
      <c r="U67" s="783"/>
    </row>
    <row r="68" spans="1:21" ht="9.6" hidden="1" customHeight="1" x14ac:dyDescent="0.25">
      <c r="A68" s="191"/>
      <c r="B68" s="192"/>
      <c r="C68" s="187"/>
      <c r="D68" s="2"/>
      <c r="E68" s="2"/>
      <c r="F68" s="2"/>
      <c r="G68" s="188"/>
      <c r="H68" s="188"/>
      <c r="I68" s="188"/>
      <c r="J68" s="188"/>
      <c r="K68" s="188"/>
      <c r="L68" s="188"/>
      <c r="M68" s="188"/>
      <c r="N68" s="188"/>
      <c r="O68" s="189"/>
      <c r="P68" s="189"/>
      <c r="Q68" s="192"/>
      <c r="R68" s="192"/>
      <c r="S68" s="192"/>
      <c r="T68" s="192"/>
      <c r="U68" s="48"/>
    </row>
    <row r="69" spans="1:21" ht="9.6" hidden="1" customHeight="1" x14ac:dyDescent="0.25">
      <c r="A69" s="191"/>
      <c r="B69" s="192"/>
      <c r="C69" s="187"/>
      <c r="D69" s="2"/>
      <c r="E69" s="2"/>
      <c r="F69" s="2"/>
      <c r="G69" s="188"/>
      <c r="H69" s="188"/>
      <c r="I69" s="188"/>
      <c r="J69" s="188"/>
      <c r="K69" s="188"/>
      <c r="L69" s="188"/>
      <c r="M69" s="188"/>
      <c r="N69" s="188"/>
      <c r="O69" s="189"/>
      <c r="P69" s="189"/>
      <c r="Q69" s="192"/>
      <c r="R69" s="192"/>
      <c r="S69" s="192"/>
      <c r="T69" s="192"/>
      <c r="U69" s="48"/>
    </row>
    <row r="70" spans="1:21" ht="27" hidden="1" customHeight="1" x14ac:dyDescent="0.25">
      <c r="A70" s="394"/>
      <c r="B70" s="394"/>
      <c r="C70" s="394"/>
      <c r="D70" s="394"/>
      <c r="E70" s="394"/>
      <c r="F70" s="394"/>
      <c r="G70" s="394"/>
      <c r="H70" s="394"/>
      <c r="I70" s="394"/>
      <c r="J70" s="394"/>
      <c r="K70" s="394"/>
      <c r="L70" s="394"/>
      <c r="M70" s="394"/>
      <c r="N70" s="394"/>
      <c r="O70" s="394"/>
      <c r="P70" s="394"/>
      <c r="Q70" s="394"/>
      <c r="R70" s="394"/>
      <c r="S70" s="394"/>
      <c r="T70" s="394"/>
      <c r="U70" s="394"/>
    </row>
    <row r="71" spans="1:21" ht="9.75" customHeight="1" x14ac:dyDescent="0.25">
      <c r="A71" s="35"/>
      <c r="B71" s="2"/>
      <c r="C71" s="400"/>
      <c r="D71" s="400"/>
      <c r="E71" s="2"/>
      <c r="F71" s="2"/>
      <c r="G71" s="2"/>
      <c r="H71" s="399"/>
      <c r="I71" s="399"/>
      <c r="J71" s="399"/>
      <c r="K71" s="399"/>
      <c r="L71" s="399"/>
      <c r="M71" s="399"/>
      <c r="N71" s="189"/>
      <c r="O71" s="189"/>
      <c r="P71" s="189"/>
      <c r="Q71" s="189"/>
      <c r="R71" s="189"/>
      <c r="S71" s="189"/>
      <c r="T71" s="189"/>
      <c r="U71" s="190"/>
    </row>
    <row r="72" spans="1:21" ht="9.75" customHeight="1" thickBot="1" x14ac:dyDescent="0.3">
      <c r="A72" s="36"/>
      <c r="B72" s="37"/>
      <c r="C72" s="47"/>
      <c r="D72" s="37"/>
      <c r="E72" s="37"/>
      <c r="F72" s="37"/>
      <c r="G72" s="395"/>
      <c r="H72" s="395"/>
      <c r="I72" s="395"/>
      <c r="J72" s="395"/>
      <c r="K72" s="395"/>
      <c r="L72" s="395"/>
      <c r="M72" s="395"/>
      <c r="N72" s="395"/>
      <c r="O72" s="38"/>
      <c r="P72" s="38"/>
      <c r="Q72" s="38"/>
      <c r="R72" s="38"/>
      <c r="S72" s="38"/>
      <c r="T72" s="38"/>
      <c r="U72" s="39"/>
    </row>
    <row r="73" spans="1:21" ht="9.75" customHeight="1" x14ac:dyDescent="0.25"/>
    <row r="74" spans="1:21" ht="9.75" customHeight="1" x14ac:dyDescent="0.25"/>
    <row r="75" spans="1:21" ht="9.75" customHeight="1" x14ac:dyDescent="0.25"/>
    <row r="76" spans="1:21" ht="9.75" customHeight="1" x14ac:dyDescent="0.25"/>
    <row r="77" spans="1:21" ht="9.75" customHeight="1" x14ac:dyDescent="0.25"/>
    <row r="78" spans="1:21" ht="9.75" customHeight="1" x14ac:dyDescent="0.25"/>
    <row r="79" spans="1:21" ht="9.75" customHeight="1" x14ac:dyDescent="0.25"/>
    <row r="80" spans="1:21" ht="9.75" customHeight="1" x14ac:dyDescent="0.25"/>
    <row r="81" ht="9.75" customHeight="1" x14ac:dyDescent="0.25"/>
    <row r="82" ht="9.75" customHeight="1" x14ac:dyDescent="0.25"/>
    <row r="83" ht="9.75" customHeight="1" x14ac:dyDescent="0.25"/>
    <row r="84" ht="9.75" customHeight="1" x14ac:dyDescent="0.25"/>
    <row r="85" ht="9.75" customHeight="1" x14ac:dyDescent="0.25"/>
    <row r="86" ht="9.75" customHeight="1" x14ac:dyDescent="0.25"/>
    <row r="87" ht="9.75" customHeight="1" x14ac:dyDescent="0.25"/>
    <row r="88" ht="9.75" customHeight="1" x14ac:dyDescent="0.25"/>
    <row r="89" ht="9.75" customHeight="1" x14ac:dyDescent="0.25"/>
    <row r="90" ht="9.75" customHeight="1" x14ac:dyDescent="0.25"/>
    <row r="91" ht="9.75" customHeight="1" x14ac:dyDescent="0.25"/>
    <row r="92" ht="9.75" customHeight="1" x14ac:dyDescent="0.25"/>
    <row r="93" ht="9.75" customHeight="1" x14ac:dyDescent="0.25"/>
    <row r="94" ht="9.75" customHeight="1" x14ac:dyDescent="0.25"/>
    <row r="95" ht="9.75" customHeight="1" x14ac:dyDescent="0.25"/>
    <row r="96" ht="9.75" customHeight="1" x14ac:dyDescent="0.25"/>
    <row r="97" ht="9.75" customHeight="1" x14ac:dyDescent="0.25"/>
    <row r="98" ht="9.75" customHeight="1" x14ac:dyDescent="0.25"/>
    <row r="99" ht="9.75" customHeight="1" x14ac:dyDescent="0.25"/>
    <row r="100" ht="9.75" customHeight="1" x14ac:dyDescent="0.25"/>
    <row r="101" ht="9.75" customHeight="1" x14ac:dyDescent="0.25"/>
    <row r="102" ht="9.75" customHeight="1" x14ac:dyDescent="0.25"/>
    <row r="103" ht="9.75" customHeight="1" x14ac:dyDescent="0.25"/>
    <row r="104" ht="9.75" customHeight="1" x14ac:dyDescent="0.25"/>
    <row r="105" ht="9.75" customHeight="1" x14ac:dyDescent="0.25"/>
    <row r="106" ht="9.75" customHeight="1" x14ac:dyDescent="0.25"/>
    <row r="107" ht="9.75" customHeight="1" x14ac:dyDescent="0.25"/>
    <row r="108" ht="9.75" customHeight="1" x14ac:dyDescent="0.25"/>
    <row r="109" ht="9.75" customHeight="1" x14ac:dyDescent="0.25"/>
    <row r="110" ht="9.75" customHeight="1" x14ac:dyDescent="0.25"/>
    <row r="111" ht="9.75" customHeight="1" x14ac:dyDescent="0.25"/>
    <row r="112" ht="9.75" customHeight="1" x14ac:dyDescent="0.25"/>
    <row r="113" ht="9.75" customHeight="1" x14ac:dyDescent="0.25"/>
    <row r="114" ht="9.75" customHeight="1" x14ac:dyDescent="0.25"/>
    <row r="115" ht="9.75" customHeight="1" x14ac:dyDescent="0.25"/>
    <row r="116" ht="9.75" customHeight="1" x14ac:dyDescent="0.25"/>
    <row r="117" ht="9.75" customHeight="1" x14ac:dyDescent="0.25"/>
    <row r="118" ht="9.75" customHeight="1" x14ac:dyDescent="0.25"/>
    <row r="119" ht="9.75" customHeight="1" x14ac:dyDescent="0.25"/>
    <row r="120" ht="9.75" customHeight="1" x14ac:dyDescent="0.25"/>
    <row r="121" ht="9.75" customHeight="1" x14ac:dyDescent="0.25"/>
  </sheetData>
  <mergeCells count="208">
    <mergeCell ref="M9:S9"/>
    <mergeCell ref="A7:L8"/>
    <mergeCell ref="J9:L9"/>
    <mergeCell ref="E9:I9"/>
    <mergeCell ref="O52:P52"/>
    <mergeCell ref="Q52:R52"/>
    <mergeCell ref="S52:U52"/>
    <mergeCell ref="T9:U9"/>
    <mergeCell ref="A70:U70"/>
    <mergeCell ref="B55:C55"/>
    <mergeCell ref="D55:U55"/>
    <mergeCell ref="D56:I56"/>
    <mergeCell ref="K56:M56"/>
    <mergeCell ref="O56:P56"/>
    <mergeCell ref="Q56:R56"/>
    <mergeCell ref="S56:U56"/>
    <mergeCell ref="G72:N72"/>
    <mergeCell ref="A61:U61"/>
    <mergeCell ref="H71:M71"/>
    <mergeCell ref="C71:D71"/>
    <mergeCell ref="S59:U59"/>
    <mergeCell ref="A60:U60"/>
    <mergeCell ref="A59:R59"/>
    <mergeCell ref="B57:R57"/>
    <mergeCell ref="S57:U57"/>
    <mergeCell ref="B65:G65"/>
    <mergeCell ref="L65:U65"/>
    <mergeCell ref="D21:I21"/>
    <mergeCell ref="K21:M21"/>
    <mergeCell ref="O21:P21"/>
    <mergeCell ref="Q21:R21"/>
    <mergeCell ref="K23:M23"/>
    <mergeCell ref="S27:U27"/>
    <mergeCell ref="A58:U58"/>
    <mergeCell ref="B54:R54"/>
    <mergeCell ref="S54:U54"/>
    <mergeCell ref="D53:I53"/>
    <mergeCell ref="K53:M53"/>
    <mergeCell ref="O53:P53"/>
    <mergeCell ref="Q53:R53"/>
    <mergeCell ref="S53:U53"/>
    <mergeCell ref="O50:P50"/>
    <mergeCell ref="Q50:R50"/>
    <mergeCell ref="S50:U50"/>
    <mergeCell ref="D51:I51"/>
    <mergeCell ref="K51:M51"/>
    <mergeCell ref="O51:P51"/>
    <mergeCell ref="Q51:R51"/>
    <mergeCell ref="S51:U51"/>
    <mergeCell ref="D52:I52"/>
    <mergeCell ref="K52:M52"/>
    <mergeCell ref="S22:U22"/>
    <mergeCell ref="B24:R24"/>
    <mergeCell ref="S24:U24"/>
    <mergeCell ref="B25:C25"/>
    <mergeCell ref="D25:U25"/>
    <mergeCell ref="D23:I23"/>
    <mergeCell ref="S23:U23"/>
    <mergeCell ref="D22:I22"/>
    <mergeCell ref="K22:M22"/>
    <mergeCell ref="O22:P22"/>
    <mergeCell ref="Q22:R22"/>
    <mergeCell ref="A10:U10"/>
    <mergeCell ref="A11:A13"/>
    <mergeCell ref="D50:I50"/>
    <mergeCell ref="K50:M50"/>
    <mergeCell ref="K16:M16"/>
    <mergeCell ref="O16:P16"/>
    <mergeCell ref="Q16:R16"/>
    <mergeCell ref="B11:B13"/>
    <mergeCell ref="C11:C13"/>
    <mergeCell ref="D11:I13"/>
    <mergeCell ref="J11:J13"/>
    <mergeCell ref="B15:C15"/>
    <mergeCell ref="N12:P12"/>
    <mergeCell ref="Q12:U12"/>
    <mergeCell ref="O13:P13"/>
    <mergeCell ref="Q13:R13"/>
    <mergeCell ref="S13:U13"/>
    <mergeCell ref="M7:Q7"/>
    <mergeCell ref="R7:U7"/>
    <mergeCell ref="M8:U8"/>
    <mergeCell ref="A1:U1"/>
    <mergeCell ref="A2:U2"/>
    <mergeCell ref="A5:L5"/>
    <mergeCell ref="M5:T5"/>
    <mergeCell ref="A6:L6"/>
    <mergeCell ref="M6:T6"/>
    <mergeCell ref="A4:U4"/>
    <mergeCell ref="A3:U3"/>
    <mergeCell ref="S42:U42"/>
    <mergeCell ref="B43:C43"/>
    <mergeCell ref="D43:U43"/>
    <mergeCell ref="K11:M13"/>
    <mergeCell ref="N11:U11"/>
    <mergeCell ref="D19:I19"/>
    <mergeCell ref="K19:M19"/>
    <mergeCell ref="O19:P19"/>
    <mergeCell ref="Q19:R19"/>
    <mergeCell ref="S19:U19"/>
    <mergeCell ref="D20:I20"/>
    <mergeCell ref="K20:M20"/>
    <mergeCell ref="O20:P20"/>
    <mergeCell ref="B17:R17"/>
    <mergeCell ref="S17:U17"/>
    <mergeCell ref="B18:C18"/>
    <mergeCell ref="D18:U18"/>
    <mergeCell ref="A14:U14"/>
    <mergeCell ref="S16:U16"/>
    <mergeCell ref="D16:I16"/>
    <mergeCell ref="Q20:R20"/>
    <mergeCell ref="D15:U15"/>
    <mergeCell ref="S20:U20"/>
    <mergeCell ref="S21:U21"/>
    <mergeCell ref="S32:U32"/>
    <mergeCell ref="B33:C33"/>
    <mergeCell ref="S28:U28"/>
    <mergeCell ref="B29:C29"/>
    <mergeCell ref="S26:U26"/>
    <mergeCell ref="K26:M26"/>
    <mergeCell ref="O26:P26"/>
    <mergeCell ref="Q26:R26"/>
    <mergeCell ref="D26:I26"/>
    <mergeCell ref="D27:I27"/>
    <mergeCell ref="K27:M27"/>
    <mergeCell ref="O27:P27"/>
    <mergeCell ref="Q27:R27"/>
    <mergeCell ref="D31:I31"/>
    <mergeCell ref="K31:M31"/>
    <mergeCell ref="O31:P31"/>
    <mergeCell ref="Q31:R31"/>
    <mergeCell ref="S31:U31"/>
    <mergeCell ref="B28:R28"/>
    <mergeCell ref="D30:I30"/>
    <mergeCell ref="K30:M30"/>
    <mergeCell ref="O30:P30"/>
    <mergeCell ref="Q30:R30"/>
    <mergeCell ref="K34:M34"/>
    <mergeCell ref="O23:P23"/>
    <mergeCell ref="Q23:R23"/>
    <mergeCell ref="D44:I44"/>
    <mergeCell ref="K44:M44"/>
    <mergeCell ref="O44:P44"/>
    <mergeCell ref="Q44:R44"/>
    <mergeCell ref="B36:R36"/>
    <mergeCell ref="B42:R42"/>
    <mergeCell ref="D41:I41"/>
    <mergeCell ref="K41:M41"/>
    <mergeCell ref="O41:P41"/>
    <mergeCell ref="Q41:R41"/>
    <mergeCell ref="S41:U41"/>
    <mergeCell ref="D48:I48"/>
    <mergeCell ref="D29:U29"/>
    <mergeCell ref="B32:R32"/>
    <mergeCell ref="D35:I35"/>
    <mergeCell ref="K35:M35"/>
    <mergeCell ref="O35:P35"/>
    <mergeCell ref="Q35:R35"/>
    <mergeCell ref="K48:M48"/>
    <mergeCell ref="O48:P48"/>
    <mergeCell ref="Q48:R48"/>
    <mergeCell ref="S46:U46"/>
    <mergeCell ref="Q46:R46"/>
    <mergeCell ref="S30:U30"/>
    <mergeCell ref="D34:I34"/>
    <mergeCell ref="O34:P34"/>
    <mergeCell ref="S35:U35"/>
    <mergeCell ref="Q34:R34"/>
    <mergeCell ref="S34:U34"/>
    <mergeCell ref="D33:U33"/>
    <mergeCell ref="S36:U36"/>
    <mergeCell ref="B37:C37"/>
    <mergeCell ref="D37:U37"/>
    <mergeCell ref="D39:I39"/>
    <mergeCell ref="K39:M39"/>
    <mergeCell ref="O39:P39"/>
    <mergeCell ref="Q39:R39"/>
    <mergeCell ref="S39:U39"/>
    <mergeCell ref="D40:I40"/>
    <mergeCell ref="K40:M40"/>
    <mergeCell ref="O40:P40"/>
    <mergeCell ref="Q40:R40"/>
    <mergeCell ref="D38:I38"/>
    <mergeCell ref="K38:M38"/>
    <mergeCell ref="O38:P38"/>
    <mergeCell ref="Q38:R38"/>
    <mergeCell ref="S38:U38"/>
    <mergeCell ref="S40:U40"/>
    <mergeCell ref="S44:U44"/>
    <mergeCell ref="D49:I49"/>
    <mergeCell ref="K49:M49"/>
    <mergeCell ref="O49:P49"/>
    <mergeCell ref="Q49:R49"/>
    <mergeCell ref="S49:U49"/>
    <mergeCell ref="D45:I45"/>
    <mergeCell ref="K45:M45"/>
    <mergeCell ref="O45:P45"/>
    <mergeCell ref="Q45:R45"/>
    <mergeCell ref="S45:U45"/>
    <mergeCell ref="S48:U48"/>
    <mergeCell ref="O46:P46"/>
    <mergeCell ref="D47:I47"/>
    <mergeCell ref="K47:M47"/>
    <mergeCell ref="O47:P47"/>
    <mergeCell ref="Q47:R47"/>
    <mergeCell ref="S47:U47"/>
    <mergeCell ref="D46:I46"/>
    <mergeCell ref="K46:M46"/>
  </mergeCells>
  <phoneticPr fontId="19" type="noConversion"/>
  <pageMargins left="0.25" right="0.25" top="0.75" bottom="0.75" header="0.3" footer="0.3"/>
  <pageSetup paperSize="9" scale="86" fitToHeight="0" orientation="landscape" r:id="rId1"/>
  <rowBreaks count="1" manualBreakCount="1">
    <brk id="50"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202"/>
  <sheetViews>
    <sheetView view="pageBreakPreview" topLeftCell="A175" zoomScaleSheetLayoutView="100" workbookViewId="0">
      <selection activeCell="E190" sqref="E190"/>
    </sheetView>
  </sheetViews>
  <sheetFormatPr defaultColWidth="9.33203125" defaultRowHeight="11.4" x14ac:dyDescent="0.25"/>
  <cols>
    <col min="1" max="1" width="27" style="43" customWidth="1"/>
    <col min="2" max="2" width="16" style="70" customWidth="1"/>
    <col min="3" max="3" width="26.6640625" style="43" customWidth="1"/>
    <col min="4" max="4" width="23.44140625" style="43" customWidth="1"/>
    <col min="5" max="5" width="22.33203125" style="43" customWidth="1"/>
    <col min="6" max="6" width="14.33203125" style="43" customWidth="1"/>
    <col min="7" max="7" width="14.77734375" style="43" customWidth="1"/>
    <col min="8" max="8" width="19.77734375" style="43" customWidth="1"/>
    <col min="9" max="9" width="22" style="43" customWidth="1"/>
    <col min="10" max="10" width="23.77734375" style="43" customWidth="1"/>
    <col min="11" max="11" width="16" style="43" customWidth="1"/>
    <col min="12" max="16384" width="9.33203125" style="43"/>
  </cols>
  <sheetData>
    <row r="1" spans="1:10" s="215" customFormat="1" ht="27.75" customHeight="1" x14ac:dyDescent="0.25">
      <c r="A1" s="411" t="s">
        <v>29</v>
      </c>
      <c r="B1" s="412"/>
      <c r="C1" s="412"/>
      <c r="D1" s="412"/>
      <c r="E1" s="412"/>
      <c r="F1" s="412"/>
      <c r="G1" s="412"/>
      <c r="H1" s="412"/>
      <c r="I1" s="412"/>
      <c r="J1" s="413"/>
    </row>
    <row r="2" spans="1:10" ht="12" x14ac:dyDescent="0.25">
      <c r="A2" s="27" t="s">
        <v>30</v>
      </c>
      <c r="B2" s="315" t="str">
        <f>PLANILHA!A6</f>
        <v>CONSTRUÇÃO DE OBRA DE ACESSIBILIDADE DAS VIAS DO ENTORNO DO TERMINAL RODOVIÁRIO DE BRASÍLIA DE MINAS/MG</v>
      </c>
      <c r="C2" s="316"/>
      <c r="D2" s="316"/>
      <c r="E2" s="316"/>
      <c r="F2" s="316"/>
      <c r="G2" s="316"/>
      <c r="H2" s="316"/>
      <c r="I2" s="316"/>
      <c r="J2" s="414"/>
    </row>
    <row r="3" spans="1:10" ht="12" x14ac:dyDescent="0.25">
      <c r="A3" s="27" t="s">
        <v>31</v>
      </c>
      <c r="B3" s="315" t="str">
        <f>PLANILHA!M6</f>
        <v>BRASÍLIA DE MINAS</v>
      </c>
      <c r="C3" s="316"/>
      <c r="D3" s="316"/>
      <c r="E3" s="316"/>
      <c r="F3" s="316"/>
      <c r="G3" s="316"/>
      <c r="H3" s="316"/>
      <c r="I3" s="316"/>
      <c r="J3" s="414"/>
    </row>
    <row r="4" spans="1:10" x14ac:dyDescent="0.25">
      <c r="A4" s="361" t="str">
        <f>PLANILHA!A61</f>
        <v>LOCAL E DATA: BRASILIA DE MINAS, JUNHO DE 2022</v>
      </c>
      <c r="B4" s="316"/>
      <c r="C4" s="316"/>
      <c r="D4" s="316"/>
      <c r="E4" s="316"/>
      <c r="F4" s="316"/>
      <c r="G4" s="316"/>
      <c r="H4" s="316"/>
      <c r="I4" s="316"/>
      <c r="J4" s="414"/>
    </row>
    <row r="5" spans="1:10" ht="19.5" customHeight="1" x14ac:dyDescent="0.25">
      <c r="A5" s="415" t="str">
        <f>PLANILHA!A14</f>
        <v>CONSTRUÇÃO DE OBRA DE ACESSIBILIDADE DAS VIAS DO ENTORNO DO TERMINAL RODOVIÁRIO DE BRASÍLIA DE MINAS/MG</v>
      </c>
      <c r="B5" s="416"/>
      <c r="C5" s="416"/>
      <c r="D5" s="416"/>
      <c r="E5" s="416"/>
      <c r="F5" s="416"/>
      <c r="G5" s="416"/>
      <c r="H5" s="416"/>
      <c r="I5" s="416"/>
      <c r="J5" s="417"/>
    </row>
    <row r="6" spans="1:10" ht="12" customHeight="1" x14ac:dyDescent="0.25">
      <c r="A6" s="428" t="str">
        <f>PLANILHA!D15</f>
        <v>SERVIÇOS PRELIMINARES</v>
      </c>
      <c r="B6" s="429"/>
      <c r="C6" s="429"/>
      <c r="D6" s="429"/>
      <c r="E6" s="429"/>
      <c r="F6" s="429"/>
      <c r="G6" s="429"/>
      <c r="H6" s="429"/>
      <c r="I6" s="429"/>
      <c r="J6" s="430"/>
    </row>
    <row r="7" spans="1:10" ht="12" customHeight="1" x14ac:dyDescent="0.25">
      <c r="A7" s="361"/>
      <c r="B7" s="316"/>
      <c r="C7" s="316"/>
      <c r="D7" s="316"/>
      <c r="E7" s="316"/>
      <c r="F7" s="316"/>
      <c r="G7" s="316"/>
      <c r="H7" s="316"/>
      <c r="I7" s="316"/>
      <c r="J7" s="414"/>
    </row>
    <row r="8" spans="1:10" ht="12" customHeight="1" x14ac:dyDescent="0.25">
      <c r="A8" s="28" t="s">
        <v>100</v>
      </c>
      <c r="B8" s="67" t="str">
        <f>PLANILHA!A16</f>
        <v>1.1</v>
      </c>
      <c r="C8" s="418"/>
      <c r="D8" s="420" t="str">
        <f>PLANILHA!D16</f>
        <v>FORNECIMENTO E COLOCAÇÃO DE PLACA DE OBRA EM CHAPA GALVANIZADA #26, ESP. 0,45 MM, PLOTADA COM ADESIVO VINÍLICO, AFIXADA COM REBITES 4,8X40 MM, EM ESTRUTURA METÁLICA DE METALON 20X20 MM, ESP. 1,25 MM, INCLUSIVE SUPORTE EM EUCALIPTO AUTOCLAVADO PINTADO COM TINTA PVA DUAS (2) DEMÃOS</v>
      </c>
      <c r="E8" s="421"/>
      <c r="F8" s="421"/>
      <c r="G8" s="421"/>
      <c r="H8" s="421"/>
      <c r="I8" s="421"/>
      <c r="J8" s="422"/>
    </row>
    <row r="9" spans="1:10" ht="12" customHeight="1" x14ac:dyDescent="0.25">
      <c r="A9" s="28" t="s">
        <v>32</v>
      </c>
      <c r="B9" s="69" t="str">
        <f>PLANILHA!B16</f>
        <v>ED-16660</v>
      </c>
      <c r="C9" s="419"/>
      <c r="D9" s="423"/>
      <c r="E9" s="424"/>
      <c r="F9" s="424"/>
      <c r="G9" s="424"/>
      <c r="H9" s="424"/>
      <c r="I9" s="424"/>
      <c r="J9" s="425"/>
    </row>
    <row r="10" spans="1:10" ht="12" customHeight="1" x14ac:dyDescent="0.25">
      <c r="A10" s="426"/>
      <c r="B10" s="427"/>
      <c r="C10" s="44"/>
      <c r="D10" s="6" t="s">
        <v>34</v>
      </c>
      <c r="E10" s="6" t="s">
        <v>35</v>
      </c>
      <c r="F10" s="7" t="s">
        <v>36</v>
      </c>
      <c r="G10" s="7" t="s">
        <v>37</v>
      </c>
      <c r="H10" s="44"/>
      <c r="I10" s="7" t="s">
        <v>38</v>
      </c>
      <c r="J10" s="29" t="s">
        <v>39</v>
      </c>
    </row>
    <row r="11" spans="1:10" ht="12" customHeight="1" x14ac:dyDescent="0.25">
      <c r="A11" s="361" t="s">
        <v>95</v>
      </c>
      <c r="B11" s="317"/>
      <c r="C11" s="44"/>
      <c r="D11" s="15">
        <v>3</v>
      </c>
      <c r="E11" s="15">
        <v>1.5</v>
      </c>
      <c r="F11" s="44"/>
      <c r="G11" s="15">
        <v>1</v>
      </c>
      <c r="H11" s="44"/>
      <c r="I11" s="15">
        <f>ROUND((E11*G11*D11),2)</f>
        <v>4.5</v>
      </c>
      <c r="J11" s="30"/>
    </row>
    <row r="12" spans="1:10" ht="12" customHeight="1" x14ac:dyDescent="0.25">
      <c r="A12" s="432" t="s">
        <v>40</v>
      </c>
      <c r="B12" s="433"/>
      <c r="C12" s="433"/>
      <c r="D12" s="433"/>
      <c r="E12" s="433"/>
      <c r="F12" s="433"/>
      <c r="G12" s="433"/>
      <c r="H12" s="434"/>
      <c r="I12" s="17">
        <f>I11</f>
        <v>4.5</v>
      </c>
      <c r="J12" s="30"/>
    </row>
    <row r="13" spans="1:10" ht="12" customHeight="1" x14ac:dyDescent="0.25">
      <c r="A13" s="361"/>
      <c r="B13" s="316"/>
      <c r="C13" s="316"/>
      <c r="D13" s="316"/>
      <c r="E13" s="316"/>
      <c r="F13" s="316"/>
      <c r="G13" s="316"/>
      <c r="H13" s="316"/>
      <c r="I13" s="316"/>
      <c r="J13" s="414"/>
    </row>
    <row r="14" spans="1:10" ht="12" customHeight="1" x14ac:dyDescent="0.25">
      <c r="A14" s="428" t="str">
        <f>PLANILHA!D18</f>
        <v>DEMOLIÇÃO- REMOÇÃO- REGULARIZAÇÃO</v>
      </c>
      <c r="B14" s="429"/>
      <c r="C14" s="429"/>
      <c r="D14" s="429"/>
      <c r="E14" s="429"/>
      <c r="F14" s="429"/>
      <c r="G14" s="429"/>
      <c r="H14" s="429"/>
      <c r="I14" s="429"/>
      <c r="J14" s="430"/>
    </row>
    <row r="15" spans="1:10" ht="12" customHeight="1" x14ac:dyDescent="0.25">
      <c r="A15" s="361"/>
      <c r="B15" s="316"/>
      <c r="C15" s="316"/>
      <c r="D15" s="316"/>
      <c r="E15" s="316"/>
      <c r="F15" s="316"/>
      <c r="G15" s="316"/>
      <c r="H15" s="316"/>
      <c r="I15" s="316"/>
      <c r="J15" s="414"/>
    </row>
    <row r="16" spans="1:10" ht="12" customHeight="1" x14ac:dyDescent="0.25">
      <c r="A16" s="28" t="s">
        <v>100</v>
      </c>
      <c r="B16" s="67" t="str">
        <f>PLANILHA!A19</f>
        <v>2.1</v>
      </c>
      <c r="C16" s="418"/>
      <c r="D16" s="420" t="str">
        <f>PLANILHA!D19</f>
        <v>REMOÇÃO DE MEIO-FIO PRÉ-MOLDADO DE CONCRETO INCLUSIVE CARGA</v>
      </c>
      <c r="E16" s="421"/>
      <c r="F16" s="421"/>
      <c r="G16" s="421"/>
      <c r="H16" s="421"/>
      <c r="I16" s="421"/>
      <c r="J16" s="422"/>
    </row>
    <row r="17" spans="1:11" ht="12" customHeight="1" x14ac:dyDescent="0.25">
      <c r="A17" s="28" t="s">
        <v>32</v>
      </c>
      <c r="B17" s="221" t="str">
        <f>PLANILHA!B19</f>
        <v>ED-48472</v>
      </c>
      <c r="C17" s="419"/>
      <c r="D17" s="423"/>
      <c r="E17" s="424"/>
      <c r="F17" s="424"/>
      <c r="G17" s="424"/>
      <c r="H17" s="424"/>
      <c r="I17" s="424"/>
      <c r="J17" s="425"/>
    </row>
    <row r="18" spans="1:11" ht="12" customHeight="1" x14ac:dyDescent="0.25">
      <c r="A18" s="426"/>
      <c r="B18" s="427"/>
      <c r="C18" s="6"/>
      <c r="D18" s="6" t="s">
        <v>34</v>
      </c>
      <c r="E18" s="6" t="s">
        <v>35</v>
      </c>
      <c r="F18" s="6" t="s">
        <v>36</v>
      </c>
      <c r="G18" s="6" t="s">
        <v>37</v>
      </c>
      <c r="H18" s="44"/>
      <c r="I18" s="7" t="s">
        <v>182</v>
      </c>
      <c r="J18" s="29" t="s">
        <v>39</v>
      </c>
    </row>
    <row r="19" spans="1:11" ht="25.8" customHeight="1" x14ac:dyDescent="0.25">
      <c r="A19" s="361" t="s">
        <v>179</v>
      </c>
      <c r="B19" s="431"/>
      <c r="C19" s="44" t="s">
        <v>173</v>
      </c>
      <c r="D19" s="180">
        <f>SUM(9.67+10.54+21.83+11.51+0.73+0.46+17.1+5.22+44.69+16.34+8.63)</f>
        <v>146.72</v>
      </c>
      <c r="E19" s="180"/>
      <c r="F19" s="180"/>
      <c r="G19" s="1"/>
      <c r="H19" s="44"/>
      <c r="I19" s="15">
        <f>ROUND((D19),2)</f>
        <v>146.72</v>
      </c>
      <c r="J19" s="222"/>
    </row>
    <row r="20" spans="1:11" ht="12" customHeight="1" x14ac:dyDescent="0.25">
      <c r="A20" s="432" t="s">
        <v>40</v>
      </c>
      <c r="B20" s="433"/>
      <c r="C20" s="433"/>
      <c r="D20" s="433"/>
      <c r="E20" s="433"/>
      <c r="F20" s="433"/>
      <c r="G20" s="433"/>
      <c r="H20" s="434"/>
      <c r="I20" s="19">
        <f>ROUND(SUM(I19:I19),2)</f>
        <v>146.72</v>
      </c>
      <c r="J20" s="30"/>
    </row>
    <row r="21" spans="1:11" ht="12" customHeight="1" x14ac:dyDescent="0.25">
      <c r="A21" s="437"/>
      <c r="B21" s="438"/>
      <c r="C21" s="438"/>
      <c r="D21" s="438"/>
      <c r="E21" s="438"/>
      <c r="F21" s="438"/>
      <c r="G21" s="438"/>
      <c r="H21" s="438"/>
      <c r="I21" s="438"/>
      <c r="J21" s="439"/>
    </row>
    <row r="22" spans="1:11" ht="12" customHeight="1" x14ac:dyDescent="0.25">
      <c r="A22" s="28" t="s">
        <v>100</v>
      </c>
      <c r="B22" s="67" t="str">
        <f>PLANILHA!A20</f>
        <v>2.2</v>
      </c>
      <c r="C22" s="418"/>
      <c r="D22" s="420" t="str">
        <f>PLANILHA!D20</f>
        <v>REGULARIZAÇÃO E COMPACTAÇÃO DE TERRENO COM PLACA VIBRATÓRIA</v>
      </c>
      <c r="E22" s="421"/>
      <c r="F22" s="421"/>
      <c r="G22" s="421"/>
      <c r="H22" s="421"/>
      <c r="I22" s="421"/>
      <c r="J22" s="422"/>
    </row>
    <row r="23" spans="1:11" ht="12" customHeight="1" x14ac:dyDescent="0.25">
      <c r="A23" s="28" t="s">
        <v>32</v>
      </c>
      <c r="B23" s="221" t="str">
        <f>PLANILHA!B20</f>
        <v>ED-51123</v>
      </c>
      <c r="C23" s="419"/>
      <c r="D23" s="423"/>
      <c r="E23" s="424"/>
      <c r="F23" s="424"/>
      <c r="G23" s="424"/>
      <c r="H23" s="424"/>
      <c r="I23" s="424"/>
      <c r="J23" s="425"/>
    </row>
    <row r="24" spans="1:11" ht="12" customHeight="1" x14ac:dyDescent="0.25">
      <c r="A24" s="426"/>
      <c r="B24" s="427"/>
      <c r="C24" s="6"/>
      <c r="D24" s="6" t="s">
        <v>89</v>
      </c>
      <c r="E24" s="6"/>
      <c r="F24" s="6"/>
      <c r="G24" s="6"/>
      <c r="H24" s="44"/>
      <c r="I24" s="7" t="s">
        <v>38</v>
      </c>
      <c r="J24" s="29" t="s">
        <v>39</v>
      </c>
    </row>
    <row r="25" spans="1:11" ht="15.6" customHeight="1" x14ac:dyDescent="0.25">
      <c r="A25" s="361" t="s">
        <v>183</v>
      </c>
      <c r="B25" s="431"/>
      <c r="C25" s="44" t="s">
        <v>180</v>
      </c>
      <c r="D25" s="180">
        <f>SUM(461.11+8.42)</f>
        <v>469.53000000000003</v>
      </c>
      <c r="E25" s="1"/>
      <c r="F25" s="180"/>
      <c r="G25" s="1"/>
      <c r="H25" s="44"/>
      <c r="I25" s="15">
        <f>ROUND((D25),2)</f>
        <v>469.53</v>
      </c>
      <c r="J25" s="264" t="s">
        <v>178</v>
      </c>
    </row>
    <row r="26" spans="1:11" ht="12" customHeight="1" x14ac:dyDescent="0.25">
      <c r="A26" s="432" t="s">
        <v>40</v>
      </c>
      <c r="B26" s="433"/>
      <c r="C26" s="433"/>
      <c r="D26" s="433"/>
      <c r="E26" s="433"/>
      <c r="F26" s="433"/>
      <c r="G26" s="433"/>
      <c r="H26" s="434"/>
      <c r="I26" s="19">
        <f>ROUND(SUM(I25:I25),2)</f>
        <v>469.53</v>
      </c>
      <c r="J26" s="30"/>
    </row>
    <row r="27" spans="1:11" ht="13.5" customHeight="1" x14ac:dyDescent="0.25">
      <c r="A27" s="426"/>
      <c r="B27" s="435"/>
      <c r="C27" s="435"/>
      <c r="D27" s="435"/>
      <c r="E27" s="435"/>
      <c r="F27" s="435"/>
      <c r="G27" s="435"/>
      <c r="H27" s="435"/>
      <c r="I27" s="435"/>
      <c r="J27" s="436"/>
    </row>
    <row r="28" spans="1:11" ht="13.5" customHeight="1" x14ac:dyDescent="0.25">
      <c r="A28" s="28" t="s">
        <v>100</v>
      </c>
      <c r="B28" s="178" t="str">
        <f>PLANILHA!A21</f>
        <v>2.3</v>
      </c>
      <c r="C28" s="418"/>
      <c r="D28" s="420" t="str">
        <f>PLANILHA!D21</f>
        <v>REMOÇÃO E CARGA DO REVESTIMENTO ASFALTICO EM PRÉ-MISTURADO OU CONCRETO BETUMINOSO USINADO A QUENTE</v>
      </c>
      <c r="E28" s="421"/>
      <c r="F28" s="421"/>
      <c r="G28" s="421"/>
      <c r="H28" s="421"/>
      <c r="I28" s="421"/>
      <c r="J28" s="422"/>
    </row>
    <row r="29" spans="1:11" ht="13.5" customHeight="1" x14ac:dyDescent="0.25">
      <c r="A29" s="28" t="s">
        <v>32</v>
      </c>
      <c r="B29" s="68" t="str">
        <f>PLANILHA!B21</f>
        <v>RO-41212</v>
      </c>
      <c r="C29" s="419"/>
      <c r="D29" s="423"/>
      <c r="E29" s="424"/>
      <c r="F29" s="424"/>
      <c r="G29" s="424"/>
      <c r="H29" s="424"/>
      <c r="I29" s="424"/>
      <c r="J29" s="425"/>
    </row>
    <row r="30" spans="1:11" ht="12" customHeight="1" x14ac:dyDescent="0.25">
      <c r="A30" s="426"/>
      <c r="B30" s="427"/>
      <c r="C30" s="223"/>
      <c r="D30" s="6" t="s">
        <v>34</v>
      </c>
      <c r="E30" s="7" t="s">
        <v>35</v>
      </c>
      <c r="F30" s="7" t="s">
        <v>36</v>
      </c>
      <c r="G30" s="7" t="s">
        <v>37</v>
      </c>
      <c r="H30" s="44"/>
      <c r="I30" s="7" t="s">
        <v>38</v>
      </c>
      <c r="J30" s="29" t="s">
        <v>39</v>
      </c>
    </row>
    <row r="31" spans="1:11" ht="16.2" customHeight="1" x14ac:dyDescent="0.25">
      <c r="A31" s="361" t="s">
        <v>181</v>
      </c>
      <c r="B31" s="316"/>
      <c r="C31" s="224"/>
      <c r="D31" s="225">
        <v>12.1</v>
      </c>
      <c r="E31" s="18">
        <v>1.5</v>
      </c>
      <c r="F31" s="18"/>
      <c r="G31" s="18"/>
      <c r="H31" s="44"/>
      <c r="I31" s="15">
        <f>ROUND((D31*E31),2)</f>
        <v>18.149999999999999</v>
      </c>
      <c r="J31" s="30"/>
      <c r="K31" s="45"/>
    </row>
    <row r="32" spans="1:11" ht="12" customHeight="1" x14ac:dyDescent="0.25">
      <c r="A32" s="432" t="s">
        <v>40</v>
      </c>
      <c r="B32" s="433"/>
      <c r="C32" s="440"/>
      <c r="D32" s="433"/>
      <c r="E32" s="433"/>
      <c r="F32" s="433"/>
      <c r="G32" s="433"/>
      <c r="H32" s="434"/>
      <c r="I32" s="19">
        <f>ROUND(SUM(I31:I31),2)</f>
        <v>18.149999999999999</v>
      </c>
      <c r="J32" s="30"/>
    </row>
    <row r="33" spans="1:38" ht="13.5" customHeight="1" x14ac:dyDescent="0.25">
      <c r="A33" s="426"/>
      <c r="B33" s="435"/>
      <c r="C33" s="435"/>
      <c r="D33" s="435"/>
      <c r="E33" s="435"/>
      <c r="F33" s="435"/>
      <c r="G33" s="435"/>
      <c r="H33" s="435"/>
      <c r="I33" s="435"/>
      <c r="J33" s="436"/>
    </row>
    <row r="34" spans="1:38" ht="12" customHeight="1" x14ac:dyDescent="0.25">
      <c r="A34" s="28" t="s">
        <v>100</v>
      </c>
      <c r="B34" s="178" t="str">
        <f>PLANILHA!A22</f>
        <v>2.4</v>
      </c>
      <c r="C34" s="418"/>
      <c r="D34" s="420" t="str">
        <f>PLANILHA!D22</f>
        <v>REMOÇÃO DE BLOCOS SEXTAVADOS (BLOQUETES)</v>
      </c>
      <c r="E34" s="421"/>
      <c r="F34" s="421"/>
      <c r="G34" s="421"/>
      <c r="H34" s="421"/>
      <c r="I34" s="421"/>
      <c r="J34" s="422"/>
    </row>
    <row r="35" spans="1:38" ht="12" customHeight="1" x14ac:dyDescent="0.25">
      <c r="A35" s="28" t="s">
        <v>32</v>
      </c>
      <c r="B35" s="68" t="str">
        <f>PLANILHA!B22</f>
        <v>RO-42387</v>
      </c>
      <c r="C35" s="419"/>
      <c r="D35" s="423"/>
      <c r="E35" s="424"/>
      <c r="F35" s="424"/>
      <c r="G35" s="424"/>
      <c r="H35" s="424"/>
      <c r="I35" s="424"/>
      <c r="J35" s="425"/>
    </row>
    <row r="36" spans="1:38" ht="12" customHeight="1" x14ac:dyDescent="0.25">
      <c r="A36" s="426"/>
      <c r="B36" s="427"/>
      <c r="C36" s="44"/>
      <c r="D36" s="6" t="s">
        <v>89</v>
      </c>
      <c r="E36" s="7"/>
      <c r="F36" s="7"/>
      <c r="G36" s="7"/>
      <c r="H36" s="7"/>
      <c r="I36" s="7" t="str">
        <f>I30</f>
        <v>Área Total (m²)</v>
      </c>
      <c r="J36" s="29" t="s">
        <v>39</v>
      </c>
    </row>
    <row r="37" spans="1:38" ht="25.2" customHeight="1" x14ac:dyDescent="0.25">
      <c r="A37" s="410" t="s">
        <v>184</v>
      </c>
      <c r="B37" s="293"/>
      <c r="C37" s="44"/>
      <c r="D37" s="180">
        <v>22.9</v>
      </c>
      <c r="E37" s="18"/>
      <c r="F37" s="18"/>
      <c r="G37" s="18"/>
      <c r="H37" s="44"/>
      <c r="I37" s="219">
        <f>D37</f>
        <v>22.9</v>
      </c>
      <c r="J37" s="217" t="str">
        <f>J25</f>
        <v>ÁREA CONFORME PROJETO</v>
      </c>
      <c r="K37" s="45"/>
    </row>
    <row r="38" spans="1:38" ht="12" customHeight="1" x14ac:dyDescent="0.25">
      <c r="A38" s="432" t="s">
        <v>40</v>
      </c>
      <c r="B38" s="433"/>
      <c r="C38" s="433"/>
      <c r="D38" s="433"/>
      <c r="E38" s="433"/>
      <c r="F38" s="433"/>
      <c r="G38" s="433"/>
      <c r="H38" s="434"/>
      <c r="I38" s="19">
        <f>ROUND(SUM(I37:I37),2)</f>
        <v>22.9</v>
      </c>
      <c r="J38" s="30"/>
    </row>
    <row r="39" spans="1:38" s="426" customFormat="1" ht="12" customHeight="1" x14ac:dyDescent="0.25">
      <c r="A39" s="441"/>
      <c r="B39" s="394"/>
      <c r="C39" s="394"/>
      <c r="D39" s="394"/>
      <c r="E39" s="394"/>
      <c r="F39" s="394"/>
      <c r="G39" s="394"/>
      <c r="H39" s="394"/>
      <c r="I39" s="394"/>
      <c r="J39" s="394"/>
      <c r="K39" s="394"/>
    </row>
    <row r="40" spans="1:38" ht="13.5" customHeight="1" x14ac:dyDescent="0.25">
      <c r="A40" s="28" t="s">
        <v>100</v>
      </c>
      <c r="B40" s="67" t="str">
        <f>PLANILHA!A23</f>
        <v>2.5</v>
      </c>
      <c r="C40" s="418"/>
      <c r="D40" s="420" t="str">
        <f>PLANILHA!D23</f>
        <v>CORTE E DESATERRO PARA REGULARIZAÇÃO E ARRASTAMENTO NIVELADO A CURTA DISTÂNCIA COM LÂMINA</v>
      </c>
      <c r="E40" s="421"/>
      <c r="F40" s="421"/>
      <c r="G40" s="421"/>
      <c r="H40" s="421"/>
      <c r="I40" s="421"/>
      <c r="J40" s="422"/>
    </row>
    <row r="41" spans="1:38" ht="13.5" customHeight="1" x14ac:dyDescent="0.25">
      <c r="A41" s="28" t="s">
        <v>32</v>
      </c>
      <c r="B41" s="68" t="str">
        <f>PLANILHA!B23</f>
        <v>ED-51100</v>
      </c>
      <c r="C41" s="419"/>
      <c r="D41" s="423"/>
      <c r="E41" s="424"/>
      <c r="F41" s="424"/>
      <c r="G41" s="424"/>
      <c r="H41" s="424"/>
      <c r="I41" s="424"/>
      <c r="J41" s="425"/>
    </row>
    <row r="42" spans="1:38" ht="12" customHeight="1" x14ac:dyDescent="0.25">
      <c r="A42" s="426"/>
      <c r="B42" s="427"/>
      <c r="C42" s="44"/>
      <c r="D42" s="6" t="s">
        <v>89</v>
      </c>
      <c r="E42" s="7"/>
      <c r="F42" s="7"/>
      <c r="G42" s="7"/>
      <c r="H42" s="44"/>
      <c r="I42" s="7" t="s">
        <v>135</v>
      </c>
      <c r="J42" s="29" t="s">
        <v>39</v>
      </c>
    </row>
    <row r="43" spans="1:38" ht="22.8" customHeight="1" x14ac:dyDescent="0.25">
      <c r="A43" s="361" t="s">
        <v>185</v>
      </c>
      <c r="B43" s="317"/>
      <c r="C43" s="44"/>
      <c r="D43" s="180">
        <v>131.79</v>
      </c>
      <c r="E43" s="18"/>
      <c r="F43" s="18"/>
      <c r="G43" s="18"/>
      <c r="H43" s="44"/>
      <c r="I43" s="15">
        <f>D43</f>
        <v>131.79</v>
      </c>
      <c r="J43" s="442" t="str">
        <f>J37</f>
        <v>ÁREA CONFORME PROJETO</v>
      </c>
      <c r="K43" s="45"/>
    </row>
    <row r="44" spans="1:38" ht="12" customHeight="1" x14ac:dyDescent="0.25">
      <c r="A44" s="432" t="s">
        <v>40</v>
      </c>
      <c r="B44" s="433"/>
      <c r="C44" s="433"/>
      <c r="D44" s="433"/>
      <c r="E44" s="433"/>
      <c r="F44" s="433"/>
      <c r="G44" s="433"/>
      <c r="H44" s="434"/>
      <c r="I44" s="19">
        <f>ROUND(SUM(I43:I43),2)</f>
        <v>131.79</v>
      </c>
      <c r="J44" s="443"/>
    </row>
    <row r="45" spans="1:38" s="218" customFormat="1" ht="12" customHeight="1" x14ac:dyDescent="0.25">
      <c r="A45" s="426"/>
      <c r="B45" s="435"/>
      <c r="C45" s="435"/>
      <c r="D45" s="435"/>
      <c r="E45" s="435"/>
      <c r="F45" s="435"/>
      <c r="G45" s="435"/>
      <c r="H45" s="435"/>
      <c r="I45" s="435"/>
      <c r="J45" s="435"/>
    </row>
    <row r="46" spans="1:38" ht="12" customHeight="1" x14ac:dyDescent="0.25">
      <c r="A46" s="428" t="str">
        <f>PLANILHA!D25</f>
        <v>MEIO-FIO  E RAMPA DE ACESSIBILIDADE</v>
      </c>
      <c r="B46" s="429"/>
      <c r="C46" s="429"/>
      <c r="D46" s="429"/>
      <c r="E46" s="429"/>
      <c r="F46" s="429"/>
      <c r="G46" s="429"/>
      <c r="H46" s="429"/>
      <c r="I46" s="429"/>
      <c r="J46" s="430"/>
    </row>
    <row r="47" spans="1:38" s="426" customFormat="1" ht="12" customHeight="1" x14ac:dyDescent="0.25">
      <c r="A47" s="441"/>
      <c r="B47" s="394"/>
      <c r="C47" s="394"/>
      <c r="D47" s="394"/>
      <c r="E47" s="394"/>
      <c r="F47" s="394"/>
      <c r="G47" s="394"/>
      <c r="H47" s="394"/>
      <c r="I47" s="394"/>
      <c r="J47" s="394"/>
      <c r="K47" s="394"/>
      <c r="L47" s="394"/>
      <c r="M47" s="394"/>
      <c r="N47" s="394"/>
      <c r="O47" s="394"/>
      <c r="P47" s="394"/>
      <c r="Q47" s="394"/>
      <c r="R47" s="394"/>
      <c r="S47" s="394"/>
      <c r="T47" s="394"/>
      <c r="U47" s="394"/>
      <c r="V47" s="394"/>
      <c r="W47" s="394"/>
      <c r="X47" s="394"/>
      <c r="Y47" s="394"/>
      <c r="Z47" s="394"/>
      <c r="AA47" s="394"/>
      <c r="AB47" s="394"/>
      <c r="AC47" s="394"/>
      <c r="AD47" s="394"/>
      <c r="AE47" s="394"/>
      <c r="AF47" s="394"/>
      <c r="AG47" s="394"/>
      <c r="AH47" s="394"/>
      <c r="AI47" s="394"/>
      <c r="AJ47" s="394"/>
      <c r="AK47" s="394"/>
      <c r="AL47" s="394"/>
    </row>
    <row r="48" spans="1:38" ht="13.5" customHeight="1" x14ac:dyDescent="0.25">
      <c r="A48" s="28" t="s">
        <v>100</v>
      </c>
      <c r="B48" s="67" t="str">
        <f>PLANILHA!A26</f>
        <v>3.1</v>
      </c>
      <c r="C48" s="418"/>
      <c r="D48" s="420" t="str">
        <f>PLANILHA!D26</f>
        <v>GUIA DE MEIO-FIO, EM CONCRETO COM FCK 20MPA, PRÉ-MOLDADA, MFC-03 PADRÃO DER-MG, DIMENSÕES (12X18X45)CM, EXCLUSIVE SARJETA, INCLUSIVE ESCAVAÇÃO, APILOAMENTO E TRANSPORTE COM RETIRADA DO MATERIAL ESCAVADO (EM CAÇAMBA)</v>
      </c>
      <c r="E48" s="421"/>
      <c r="F48" s="421"/>
      <c r="G48" s="421"/>
      <c r="H48" s="421"/>
      <c r="I48" s="421"/>
      <c r="J48" s="422"/>
    </row>
    <row r="49" spans="1:10" ht="13.5" customHeight="1" x14ac:dyDescent="0.25">
      <c r="A49" s="28" t="s">
        <v>32</v>
      </c>
      <c r="B49" s="68" t="str">
        <f>PLANILHA!B26</f>
        <v>ED-51140</v>
      </c>
      <c r="C49" s="419"/>
      <c r="D49" s="423"/>
      <c r="E49" s="424"/>
      <c r="F49" s="424"/>
      <c r="G49" s="424"/>
      <c r="H49" s="424"/>
      <c r="I49" s="424"/>
      <c r="J49" s="425"/>
    </row>
    <row r="50" spans="1:10" s="226" customFormat="1" ht="12" customHeight="1" x14ac:dyDescent="0.25">
      <c r="A50" s="426"/>
      <c r="B50" s="427"/>
      <c r="C50" s="6"/>
      <c r="D50" s="6" t="s">
        <v>34</v>
      </c>
      <c r="E50" s="6" t="s">
        <v>36</v>
      </c>
      <c r="F50" s="6" t="s">
        <v>89</v>
      </c>
      <c r="G50" s="6" t="s">
        <v>137</v>
      </c>
      <c r="H50" s="6"/>
      <c r="I50" s="7" t="s">
        <v>38</v>
      </c>
      <c r="J50" s="29" t="s">
        <v>39</v>
      </c>
    </row>
    <row r="51" spans="1:10" ht="69.599999999999994" customHeight="1" x14ac:dyDescent="0.25">
      <c r="A51" s="361" t="s">
        <v>186</v>
      </c>
      <c r="B51" s="317"/>
      <c r="C51" s="44" t="s">
        <v>187</v>
      </c>
      <c r="D51" s="1">
        <f>SUM(1.7+6.95+6.2+9.5+10.54+21.83+11.51+0.73+0.46+17.1+5.22+1.5+1.58+2.9+3*13+0.57+0.57+0.59+0.58+0.59+0.54+0.59+0.56+0.54+0.56+0.57+0.6+3.58+15.98+5.55+10.68+7.09)</f>
        <v>186.46000000000004</v>
      </c>
      <c r="E51" s="1"/>
      <c r="F51" s="1"/>
      <c r="G51" s="44"/>
      <c r="H51" s="44"/>
      <c r="I51" s="1">
        <f>ROUND((D51),2)</f>
        <v>186.46</v>
      </c>
      <c r="J51" s="217"/>
    </row>
    <row r="52" spans="1:10" ht="12" customHeight="1" x14ac:dyDescent="0.25">
      <c r="A52" s="432" t="s">
        <v>40</v>
      </c>
      <c r="B52" s="433"/>
      <c r="C52" s="433"/>
      <c r="D52" s="433"/>
      <c r="E52" s="433"/>
      <c r="F52" s="433"/>
      <c r="G52" s="433"/>
      <c r="H52" s="434"/>
      <c r="I52" s="19">
        <f>ROUND(SUM(I51:I51),2)</f>
        <v>186.46</v>
      </c>
      <c r="J52" s="30"/>
    </row>
    <row r="53" spans="1:10" s="255" customFormat="1" ht="12" customHeight="1" x14ac:dyDescent="0.25">
      <c r="A53" s="471"/>
      <c r="B53" s="472"/>
      <c r="C53" s="472"/>
      <c r="D53" s="472"/>
      <c r="E53" s="472"/>
      <c r="F53" s="472"/>
      <c r="G53" s="472"/>
      <c r="H53" s="472"/>
      <c r="I53" s="472"/>
      <c r="J53" s="472"/>
    </row>
    <row r="54" spans="1:10" ht="13.5" customHeight="1" x14ac:dyDescent="0.25">
      <c r="A54" s="28" t="s">
        <v>100</v>
      </c>
      <c r="B54" s="67" t="str">
        <f>PLANILHA!A27</f>
        <v>3.2</v>
      </c>
      <c r="C54" s="418"/>
      <c r="D54" s="420" t="str">
        <f>PLANILHA!D27</f>
        <v>RAMPA DE ACESSIBILIDADE</v>
      </c>
      <c r="E54" s="421"/>
      <c r="F54" s="421"/>
      <c r="G54" s="421"/>
      <c r="H54" s="421"/>
      <c r="I54" s="421"/>
      <c r="J54" s="422"/>
    </row>
    <row r="55" spans="1:10" ht="13.5" customHeight="1" x14ac:dyDescent="0.25">
      <c r="A55" s="28" t="s">
        <v>32</v>
      </c>
      <c r="B55" s="68" t="str">
        <f>PLANILHA!C27</f>
        <v>CPU RAMPA</v>
      </c>
      <c r="C55" s="419"/>
      <c r="D55" s="423"/>
      <c r="E55" s="424"/>
      <c r="F55" s="424"/>
      <c r="G55" s="424"/>
      <c r="H55" s="424"/>
      <c r="I55" s="424"/>
      <c r="J55" s="425"/>
    </row>
    <row r="56" spans="1:10" s="226" customFormat="1" ht="12" customHeight="1" x14ac:dyDescent="0.25">
      <c r="A56" s="426"/>
      <c r="B56" s="427"/>
      <c r="C56" s="6"/>
      <c r="D56" s="6" t="s">
        <v>188</v>
      </c>
      <c r="E56" s="6"/>
      <c r="F56" s="6"/>
      <c r="G56" s="6"/>
      <c r="H56" s="6"/>
      <c r="I56" s="7" t="s">
        <v>38</v>
      </c>
      <c r="J56" s="29" t="s">
        <v>39</v>
      </c>
    </row>
    <row r="57" spans="1:10" ht="21.6" customHeight="1" x14ac:dyDescent="0.25">
      <c r="A57" s="361" t="s">
        <v>189</v>
      </c>
      <c r="B57" s="317"/>
      <c r="C57" s="44"/>
      <c r="D57" s="1">
        <v>4</v>
      </c>
      <c r="E57" s="1"/>
      <c r="F57" s="1"/>
      <c r="G57" s="44"/>
      <c r="H57" s="44"/>
      <c r="I57" s="1">
        <f>ROUND((D57),2)</f>
        <v>4</v>
      </c>
      <c r="J57" s="259"/>
    </row>
    <row r="58" spans="1:10" ht="12" customHeight="1" x14ac:dyDescent="0.25">
      <c r="A58" s="432" t="s">
        <v>40</v>
      </c>
      <c r="B58" s="433"/>
      <c r="C58" s="433"/>
      <c r="D58" s="433"/>
      <c r="E58" s="433"/>
      <c r="F58" s="433"/>
      <c r="G58" s="433"/>
      <c r="H58" s="434"/>
      <c r="I58" s="19">
        <f>ROUND(SUM(I57:I57),2)</f>
        <v>4</v>
      </c>
      <c r="J58" s="30"/>
    </row>
    <row r="59" spans="1:10" ht="12" customHeight="1" x14ac:dyDescent="0.25">
      <c r="A59" s="426"/>
      <c r="B59" s="435"/>
      <c r="C59" s="435"/>
      <c r="D59" s="435"/>
      <c r="E59" s="435"/>
      <c r="F59" s="435"/>
      <c r="G59" s="435"/>
      <c r="H59" s="435"/>
      <c r="I59" s="435"/>
      <c r="J59" s="436"/>
    </row>
    <row r="60" spans="1:10" ht="12" customHeight="1" x14ac:dyDescent="0.25">
      <c r="A60" s="428" t="str">
        <f>PLANILHA!D29</f>
        <v>PISO</v>
      </c>
      <c r="B60" s="429"/>
      <c r="C60" s="429"/>
      <c r="D60" s="429"/>
      <c r="E60" s="429"/>
      <c r="F60" s="429"/>
      <c r="G60" s="429"/>
      <c r="H60" s="429"/>
      <c r="I60" s="429"/>
      <c r="J60" s="430"/>
    </row>
    <row r="61" spans="1:10" s="218" customFormat="1" ht="12" customHeight="1" x14ac:dyDescent="0.25">
      <c r="A61" s="444"/>
      <c r="B61" s="445"/>
      <c r="C61" s="445"/>
      <c r="D61" s="445"/>
      <c r="E61" s="445"/>
      <c r="F61" s="445"/>
      <c r="G61" s="445"/>
      <c r="H61" s="445"/>
      <c r="I61" s="445"/>
      <c r="J61" s="445"/>
    </row>
    <row r="62" spans="1:10" ht="12" customHeight="1" x14ac:dyDescent="0.25">
      <c r="A62" s="28" t="s">
        <v>100</v>
      </c>
      <c r="B62" s="67" t="str">
        <f>PLANILHA!A30</f>
        <v>4.1</v>
      </c>
      <c r="C62" s="418"/>
      <c r="D62" s="420" t="str">
        <f>PLANILHA!D30</f>
        <v>PISO DE CONCRETO PRÉ-MOLDADO INTERTRAVADO E = 8 CM - FCK = 35 MPA, INCLUINDO FORNECIMENTO E TRANSPORTE DE TODOS OS MATERIAIS, COLCHÃO DE ASSENTAMENTO E = 6 CM</v>
      </c>
      <c r="E62" s="421"/>
      <c r="F62" s="421"/>
      <c r="G62" s="421"/>
      <c r="H62" s="421"/>
      <c r="I62" s="421"/>
      <c r="J62" s="422"/>
    </row>
    <row r="63" spans="1:10" ht="12" customHeight="1" x14ac:dyDescent="0.25">
      <c r="A63" s="28" t="s">
        <v>32</v>
      </c>
      <c r="B63" s="68" t="str">
        <f>PLANILHA!B30</f>
        <v>ED-50418</v>
      </c>
      <c r="C63" s="419"/>
      <c r="D63" s="423"/>
      <c r="E63" s="424"/>
      <c r="F63" s="424"/>
      <c r="G63" s="424"/>
      <c r="H63" s="424"/>
      <c r="I63" s="424"/>
      <c r="J63" s="425"/>
    </row>
    <row r="64" spans="1:10" ht="12" customHeight="1" x14ac:dyDescent="0.25">
      <c r="A64" s="426"/>
      <c r="B64" s="427"/>
      <c r="C64" s="44"/>
      <c r="D64" s="6" t="s">
        <v>89</v>
      </c>
      <c r="E64" s="7"/>
      <c r="F64" s="7"/>
      <c r="G64" s="7"/>
      <c r="H64" s="7"/>
      <c r="I64" s="7" t="s">
        <v>38</v>
      </c>
      <c r="J64" s="29" t="s">
        <v>39</v>
      </c>
    </row>
    <row r="65" spans="1:11" ht="17.25" customHeight="1" x14ac:dyDescent="0.25">
      <c r="A65" s="410" t="s">
        <v>190</v>
      </c>
      <c r="B65" s="293"/>
      <c r="C65" s="44"/>
      <c r="D65" s="18">
        <v>461.11</v>
      </c>
      <c r="E65" s="18"/>
      <c r="F65" s="18"/>
      <c r="G65" s="44"/>
      <c r="H65" s="44"/>
      <c r="I65" s="219">
        <f>ROUND(SUM(D65),2)</f>
        <v>461.11</v>
      </c>
      <c r="J65" s="30" t="str">
        <f>J43</f>
        <v>ÁREA CONFORME PROJETO</v>
      </c>
      <c r="K65" s="45"/>
    </row>
    <row r="66" spans="1:11" ht="12" customHeight="1" x14ac:dyDescent="0.25">
      <c r="A66" s="432" t="s">
        <v>40</v>
      </c>
      <c r="B66" s="433"/>
      <c r="C66" s="433"/>
      <c r="D66" s="433"/>
      <c r="E66" s="433"/>
      <c r="F66" s="433"/>
      <c r="G66" s="433"/>
      <c r="H66" s="434"/>
      <c r="I66" s="19">
        <f>ROUND(SUM(I65:I65),2)</f>
        <v>461.11</v>
      </c>
      <c r="J66" s="30"/>
    </row>
    <row r="67" spans="1:11" s="441" customFormat="1" ht="12" customHeight="1" x14ac:dyDescent="0.25">
      <c r="B67" s="394"/>
      <c r="C67" s="394"/>
      <c r="D67" s="394"/>
      <c r="E67" s="394"/>
      <c r="F67" s="394"/>
      <c r="G67" s="394"/>
      <c r="H67" s="394"/>
      <c r="I67" s="394"/>
      <c r="J67" s="394"/>
      <c r="K67" s="394"/>
    </row>
    <row r="68" spans="1:11" ht="12" customHeight="1" x14ac:dyDescent="0.25">
      <c r="A68" s="28" t="s">
        <v>100</v>
      </c>
      <c r="B68" s="67" t="str">
        <f>PLANILHA!A31</f>
        <v>4.2</v>
      </c>
      <c r="C68" s="418"/>
      <c r="D68" s="420" t="str">
        <f>PLANILHA!D31</f>
        <v>PISO PODOTÁTIL DE CONCRETO, DIRECIONAL, APLICADO EM PISO (40X40CM) COM JUNTA SECA, COR VERMELHO/AMARELO, ASSENTAMENTO COM ARGAMASSA INDUSTRIALIZADA, INCLUSIVE FORNECIMENTO E INSTALAÇÃO</v>
      </c>
      <c r="E68" s="421"/>
      <c r="F68" s="421"/>
      <c r="G68" s="421"/>
      <c r="H68" s="421"/>
      <c r="I68" s="421"/>
      <c r="J68" s="422"/>
    </row>
    <row r="69" spans="1:11" ht="12" customHeight="1" x14ac:dyDescent="0.25">
      <c r="A69" s="28" t="s">
        <v>32</v>
      </c>
      <c r="B69" s="68" t="str">
        <f>PLANILHA!B31</f>
        <v>ED-50587</v>
      </c>
      <c r="C69" s="419"/>
      <c r="D69" s="423"/>
      <c r="E69" s="424"/>
      <c r="F69" s="424"/>
      <c r="G69" s="424"/>
      <c r="H69" s="424"/>
      <c r="I69" s="424"/>
      <c r="J69" s="425"/>
    </row>
    <row r="70" spans="1:11" ht="12" customHeight="1" x14ac:dyDescent="0.25">
      <c r="A70" s="426"/>
      <c r="B70" s="427"/>
      <c r="C70" s="44"/>
      <c r="D70" s="6" t="s">
        <v>34</v>
      </c>
      <c r="E70" s="7" t="s">
        <v>35</v>
      </c>
      <c r="F70" s="7" t="s">
        <v>37</v>
      </c>
      <c r="G70" s="7"/>
      <c r="H70" s="7"/>
      <c r="I70" s="7" t="s">
        <v>38</v>
      </c>
      <c r="J70" s="29" t="s">
        <v>39</v>
      </c>
    </row>
    <row r="71" spans="1:11" ht="17.25" customHeight="1" x14ac:dyDescent="0.25">
      <c r="A71" s="410" t="s">
        <v>174</v>
      </c>
      <c r="B71" s="293"/>
      <c r="C71" s="44" t="s">
        <v>176</v>
      </c>
      <c r="D71" s="18">
        <f>SUM(0.4*3)</f>
        <v>1.2000000000000002</v>
      </c>
      <c r="E71" s="18">
        <v>0.4</v>
      </c>
      <c r="F71" s="18">
        <v>4</v>
      </c>
      <c r="G71" s="44"/>
      <c r="H71" s="44"/>
      <c r="I71" s="219">
        <f>ROUND(SUM(D71*E71*F71),2)</f>
        <v>1.92</v>
      </c>
      <c r="J71" s="30"/>
      <c r="K71" s="45"/>
    </row>
    <row r="72" spans="1:11" ht="17.25" customHeight="1" x14ac:dyDescent="0.25">
      <c r="A72" s="410" t="s">
        <v>175</v>
      </c>
      <c r="B72" s="293"/>
      <c r="C72" s="44" t="s">
        <v>177</v>
      </c>
      <c r="D72" s="18">
        <f>SUM(17.45+3.6)</f>
        <v>21.05</v>
      </c>
      <c r="E72" s="18">
        <v>0.4</v>
      </c>
      <c r="F72" s="18">
        <v>1</v>
      </c>
      <c r="G72" s="44"/>
      <c r="H72" s="44"/>
      <c r="I72" s="219">
        <f>ROUND(SUM(D72*E72*F72),2)</f>
        <v>8.42</v>
      </c>
      <c r="J72" s="30"/>
      <c r="K72" s="45"/>
    </row>
    <row r="73" spans="1:11" ht="12" customHeight="1" x14ac:dyDescent="0.25">
      <c r="A73" s="432" t="s">
        <v>40</v>
      </c>
      <c r="B73" s="433"/>
      <c r="C73" s="433"/>
      <c r="D73" s="433"/>
      <c r="E73" s="433"/>
      <c r="F73" s="433"/>
      <c r="G73" s="433"/>
      <c r="H73" s="434"/>
      <c r="I73" s="19">
        <f>ROUND(SUM(I71:I72),2)</f>
        <v>10.34</v>
      </c>
      <c r="J73" s="30"/>
    </row>
    <row r="74" spans="1:11" ht="12" customHeight="1" x14ac:dyDescent="0.25">
      <c r="A74" s="426"/>
      <c r="B74" s="435"/>
      <c r="C74" s="435"/>
      <c r="D74" s="435"/>
      <c r="E74" s="435"/>
      <c r="F74" s="435"/>
      <c r="G74" s="435"/>
      <c r="H74" s="435"/>
      <c r="I74" s="435"/>
      <c r="J74" s="436"/>
    </row>
    <row r="75" spans="1:11" ht="12" customHeight="1" x14ac:dyDescent="0.25">
      <c r="A75" s="428" t="str">
        <f>PLANILHA!D33</f>
        <v>ILUMINAÇÃO</v>
      </c>
      <c r="B75" s="429"/>
      <c r="C75" s="429"/>
      <c r="D75" s="429"/>
      <c r="E75" s="429"/>
      <c r="F75" s="429"/>
      <c r="G75" s="429"/>
      <c r="H75" s="429"/>
      <c r="I75" s="429"/>
      <c r="J75" s="430"/>
    </row>
    <row r="76" spans="1:11" s="441" customFormat="1" ht="12" customHeight="1" x14ac:dyDescent="0.25">
      <c r="B76" s="394"/>
      <c r="C76" s="394"/>
      <c r="D76" s="394"/>
      <c r="E76" s="394"/>
      <c r="F76" s="394"/>
      <c r="G76" s="394"/>
      <c r="H76" s="394"/>
      <c r="I76" s="394"/>
      <c r="J76" s="394"/>
      <c r="K76" s="394"/>
    </row>
    <row r="77" spans="1:11" ht="13.5" customHeight="1" x14ac:dyDescent="0.25">
      <c r="A77" s="28" t="s">
        <v>100</v>
      </c>
      <c r="B77" s="67" t="str">
        <f>PLANILHA!A34</f>
        <v>5.1</v>
      </c>
      <c r="C77" s="418"/>
      <c r="D77" s="420" t="str">
        <f>PLANILHA!D34</f>
        <v>LUMINÁRIA PÚBLICA LED 200W</v>
      </c>
      <c r="E77" s="421"/>
      <c r="F77" s="421"/>
      <c r="G77" s="421"/>
      <c r="H77" s="421"/>
      <c r="I77" s="421"/>
      <c r="J77" s="422"/>
    </row>
    <row r="78" spans="1:11" ht="13.5" customHeight="1" x14ac:dyDescent="0.25">
      <c r="A78" s="28" t="s">
        <v>32</v>
      </c>
      <c r="B78" s="68" t="str">
        <f>PLANILHA!C34</f>
        <v>COTAÇÃO 1</v>
      </c>
      <c r="C78" s="419"/>
      <c r="D78" s="423"/>
      <c r="E78" s="424"/>
      <c r="F78" s="424"/>
      <c r="G78" s="424"/>
      <c r="H78" s="424"/>
      <c r="I78" s="424"/>
      <c r="J78" s="425"/>
    </row>
    <row r="79" spans="1:11" ht="12.6" customHeight="1" x14ac:dyDescent="0.25">
      <c r="A79" s="426"/>
      <c r="B79" s="427"/>
      <c r="C79" s="223"/>
      <c r="D79" s="279" t="s">
        <v>194</v>
      </c>
      <c r="E79" s="6"/>
      <c r="F79" s="6"/>
      <c r="G79" s="6"/>
      <c r="H79" s="6"/>
      <c r="I79" s="7" t="s">
        <v>90</v>
      </c>
      <c r="J79" s="29" t="s">
        <v>39</v>
      </c>
    </row>
    <row r="80" spans="1:11" ht="23.25" customHeight="1" x14ac:dyDescent="0.25">
      <c r="A80" s="361" t="s">
        <v>192</v>
      </c>
      <c r="B80" s="316"/>
      <c r="C80" s="236" t="s">
        <v>195</v>
      </c>
      <c r="D80" s="179">
        <v>8</v>
      </c>
      <c r="E80" s="172"/>
      <c r="F80" s="18"/>
      <c r="G80" s="18"/>
      <c r="H80" s="1"/>
      <c r="I80" s="219">
        <f>ROUND(SUM(D80),2)</f>
        <v>8</v>
      </c>
      <c r="J80" s="240"/>
      <c r="K80" s="45"/>
    </row>
    <row r="81" spans="1:11" ht="12" customHeight="1" x14ac:dyDescent="0.25">
      <c r="A81" s="446" t="s">
        <v>40</v>
      </c>
      <c r="B81" s="447"/>
      <c r="C81" s="447"/>
      <c r="D81" s="447"/>
      <c r="E81" s="447"/>
      <c r="F81" s="447"/>
      <c r="G81" s="447"/>
      <c r="H81" s="448"/>
      <c r="I81" s="19">
        <f>ROUND(SUM(I80:I80),2)</f>
        <v>8</v>
      </c>
      <c r="J81" s="30"/>
    </row>
    <row r="82" spans="1:11" s="437" customFormat="1" x14ac:dyDescent="0.25">
      <c r="A82" s="463"/>
      <c r="B82" s="399"/>
      <c r="C82" s="399"/>
      <c r="D82" s="399"/>
      <c r="E82" s="399"/>
      <c r="F82" s="399"/>
      <c r="G82" s="399"/>
      <c r="H82" s="399"/>
      <c r="I82" s="399"/>
      <c r="J82" s="399"/>
      <c r="K82" s="399"/>
    </row>
    <row r="83" spans="1:11" ht="13.5" customHeight="1" x14ac:dyDescent="0.25">
      <c r="A83" s="28" t="s">
        <v>100</v>
      </c>
      <c r="B83" s="67" t="str">
        <f>PLANILHA!A35</f>
        <v>5.2</v>
      </c>
      <c r="C83" s="418"/>
      <c r="D83" s="420" t="str">
        <f>PLANILHA!D35</f>
        <v>POSTE TELECÔNICO RETO, H = 9,00 M EM AÇO GALVANIZADO , (LIVRE)</v>
      </c>
      <c r="E83" s="421"/>
      <c r="F83" s="421"/>
      <c r="G83" s="421"/>
      <c r="H83" s="421"/>
      <c r="I83" s="421"/>
      <c r="J83" s="422"/>
    </row>
    <row r="84" spans="1:11" ht="13.5" customHeight="1" x14ac:dyDescent="0.25">
      <c r="A84" s="28" t="s">
        <v>32</v>
      </c>
      <c r="B84" s="68" t="str">
        <f>PLANILHA!B35</f>
        <v>ED-49497</v>
      </c>
      <c r="C84" s="419"/>
      <c r="D84" s="423"/>
      <c r="E84" s="424"/>
      <c r="F84" s="424"/>
      <c r="G84" s="424"/>
      <c r="H84" s="424"/>
      <c r="I84" s="424"/>
      <c r="J84" s="425"/>
    </row>
    <row r="85" spans="1:11" ht="13.8" customHeight="1" x14ac:dyDescent="0.25">
      <c r="A85" s="426"/>
      <c r="B85" s="427"/>
      <c r="C85" s="223"/>
      <c r="D85" s="6" t="str">
        <f>D79</f>
        <v>Quant.</v>
      </c>
      <c r="E85" s="6"/>
      <c r="F85" s="6"/>
      <c r="G85" s="6"/>
      <c r="H85" s="6"/>
      <c r="I85" s="7" t="str">
        <f>I79</f>
        <v>Unidade</v>
      </c>
      <c r="J85" s="222" t="s">
        <v>39</v>
      </c>
    </row>
    <row r="86" spans="1:11" ht="15.6" customHeight="1" x14ac:dyDescent="0.25">
      <c r="A86" s="410" t="s">
        <v>191</v>
      </c>
      <c r="B86" s="292"/>
      <c r="C86" s="242"/>
      <c r="D86" s="243">
        <v>4</v>
      </c>
      <c r="E86" s="227"/>
      <c r="F86" s="227"/>
      <c r="G86" s="227"/>
      <c r="H86" s="239"/>
      <c r="I86" s="260">
        <f>ROUND(SUM(D86),2)</f>
        <v>4</v>
      </c>
      <c r="J86" s="242"/>
      <c r="K86" s="45"/>
    </row>
    <row r="87" spans="1:11" ht="12" customHeight="1" x14ac:dyDescent="0.25">
      <c r="A87" s="464" t="s">
        <v>40</v>
      </c>
      <c r="B87" s="465"/>
      <c r="C87" s="465"/>
      <c r="D87" s="465"/>
      <c r="E87" s="465"/>
      <c r="F87" s="465"/>
      <c r="G87" s="465"/>
      <c r="H87" s="466"/>
      <c r="I87" s="278">
        <f>ROUND(SUM(I86:I86),2)</f>
        <v>4</v>
      </c>
      <c r="J87" s="262"/>
    </row>
    <row r="88" spans="1:11" s="399" customFormat="1" x14ac:dyDescent="0.25">
      <c r="A88" s="463"/>
    </row>
    <row r="89" spans="1:11" ht="12" customHeight="1" x14ac:dyDescent="0.25">
      <c r="A89" s="428" t="str">
        <f>PLANILHA!D37</f>
        <v>PAISAGISMO</v>
      </c>
      <c r="B89" s="429"/>
      <c r="C89" s="429"/>
      <c r="D89" s="429"/>
      <c r="E89" s="429"/>
      <c r="F89" s="429"/>
      <c r="G89" s="429"/>
      <c r="H89" s="429"/>
      <c r="I89" s="429"/>
      <c r="J89" s="430"/>
    </row>
    <row r="90" spans="1:11" ht="12" customHeight="1" x14ac:dyDescent="0.25">
      <c r="A90" s="426"/>
      <c r="B90" s="435"/>
      <c r="C90" s="435"/>
      <c r="D90" s="435"/>
      <c r="E90" s="435"/>
      <c r="F90" s="435"/>
      <c r="G90" s="435"/>
      <c r="H90" s="435"/>
      <c r="I90" s="435"/>
      <c r="J90" s="436"/>
    </row>
    <row r="91" spans="1:11" ht="13.5" customHeight="1" x14ac:dyDescent="0.25">
      <c r="A91" s="28" t="s">
        <v>100</v>
      </c>
      <c r="B91" s="67" t="str">
        <f>PLANILHA!A38</f>
        <v>6.1</v>
      </c>
      <c r="C91" s="418"/>
      <c r="D91" s="420" t="str">
        <f>PLANILHA!D38</f>
        <v>CONJUNTO DE MESA E BANCOS DE CONCRETO PARA JOGOS (02 BANCOS EM ARCO COM D INTERNO = 130 CM E H = 43 CM E MESA COM D = 80 CM, E = 8 CM E H = 75 CM)</v>
      </c>
      <c r="E91" s="421"/>
      <c r="F91" s="421"/>
      <c r="G91" s="421"/>
      <c r="H91" s="421"/>
      <c r="I91" s="421"/>
      <c r="J91" s="422"/>
    </row>
    <row r="92" spans="1:11" ht="13.5" customHeight="1" x14ac:dyDescent="0.25">
      <c r="A92" s="28" t="s">
        <v>32</v>
      </c>
      <c r="B92" s="68" t="str">
        <f>PLANILHA!B38</f>
        <v>ED-48360</v>
      </c>
      <c r="C92" s="419"/>
      <c r="D92" s="423"/>
      <c r="E92" s="424"/>
      <c r="F92" s="424"/>
      <c r="G92" s="424"/>
      <c r="H92" s="424"/>
      <c r="I92" s="424"/>
      <c r="J92" s="425"/>
    </row>
    <row r="93" spans="1:11" ht="13.8" customHeight="1" x14ac:dyDescent="0.25">
      <c r="A93" s="426"/>
      <c r="B93" s="427"/>
      <c r="C93" s="223"/>
      <c r="D93" s="6" t="str">
        <f>D85</f>
        <v>Quant.</v>
      </c>
      <c r="E93" s="6"/>
      <c r="F93" s="6"/>
      <c r="G93" s="6"/>
      <c r="H93" s="6"/>
      <c r="I93" s="7" t="str">
        <f>I85</f>
        <v>Unidade</v>
      </c>
      <c r="J93" s="222" t="s">
        <v>39</v>
      </c>
    </row>
    <row r="94" spans="1:11" ht="15.6" customHeight="1" x14ac:dyDescent="0.25">
      <c r="A94" s="410" t="s">
        <v>193</v>
      </c>
      <c r="B94" s="292"/>
      <c r="C94" s="242"/>
      <c r="D94" s="243">
        <v>4</v>
      </c>
      <c r="E94" s="227"/>
      <c r="F94" s="227"/>
      <c r="G94" s="227"/>
      <c r="H94" s="239"/>
      <c r="I94" s="260">
        <f>ROUND(SUM(D94),2)</f>
        <v>4</v>
      </c>
      <c r="J94" s="242"/>
      <c r="K94" s="45"/>
    </row>
    <row r="95" spans="1:11" ht="12" customHeight="1" x14ac:dyDescent="0.25">
      <c r="A95" s="464" t="s">
        <v>40</v>
      </c>
      <c r="B95" s="465"/>
      <c r="C95" s="465"/>
      <c r="D95" s="465"/>
      <c r="E95" s="465"/>
      <c r="F95" s="465"/>
      <c r="G95" s="465"/>
      <c r="H95" s="466"/>
      <c r="I95" s="278">
        <f>ROUND(SUM(I94:I94),2)</f>
        <v>4</v>
      </c>
      <c r="J95" s="262"/>
    </row>
    <row r="96" spans="1:11" s="399" customFormat="1" x14ac:dyDescent="0.25">
      <c r="A96" s="463"/>
    </row>
    <row r="97" spans="1:11" ht="13.5" customHeight="1" x14ac:dyDescent="0.25">
      <c r="A97" s="28" t="s">
        <v>100</v>
      </c>
      <c r="B97" s="67" t="str">
        <f>PLANILHA!A39</f>
        <v>6.2</v>
      </c>
      <c r="C97" s="418"/>
      <c r="D97" s="420" t="str">
        <f>PLANILHA!D39</f>
        <v>PLANTIO DE GRAMA ESMERALDA EM PLACAS, INCLUSIVE TERRA VEGETAL E CONSERVAÇÃO POR 30 DIAS</v>
      </c>
      <c r="E97" s="421"/>
      <c r="F97" s="421"/>
      <c r="G97" s="421"/>
      <c r="H97" s="421"/>
      <c r="I97" s="421"/>
      <c r="J97" s="422"/>
    </row>
    <row r="98" spans="1:11" ht="13.5" customHeight="1" x14ac:dyDescent="0.25">
      <c r="A98" s="28" t="s">
        <v>32</v>
      </c>
      <c r="B98" s="68" t="str">
        <f>PLANILHA!B39</f>
        <v>ED-50437</v>
      </c>
      <c r="C98" s="419"/>
      <c r="D98" s="423"/>
      <c r="E98" s="424"/>
      <c r="F98" s="424"/>
      <c r="G98" s="424"/>
      <c r="H98" s="424"/>
      <c r="I98" s="424"/>
      <c r="J98" s="425"/>
    </row>
    <row r="99" spans="1:11" ht="12" customHeight="1" x14ac:dyDescent="0.25">
      <c r="A99" s="426" t="s">
        <v>33</v>
      </c>
      <c r="B99" s="427"/>
      <c r="C99" s="223"/>
      <c r="D99" s="6" t="s">
        <v>89</v>
      </c>
      <c r="E99" s="6"/>
      <c r="F99" s="7"/>
      <c r="G99" s="7"/>
      <c r="H99" s="44"/>
      <c r="I99" s="7" t="s">
        <v>38</v>
      </c>
      <c r="J99" s="222" t="s">
        <v>39</v>
      </c>
    </row>
    <row r="100" spans="1:11" ht="19.2" customHeight="1" x14ac:dyDescent="0.25">
      <c r="A100" s="361"/>
      <c r="B100" s="316"/>
      <c r="C100" s="224"/>
      <c r="D100" s="172">
        <v>22.9</v>
      </c>
      <c r="E100" s="18"/>
      <c r="F100" s="18"/>
      <c r="G100" s="18"/>
      <c r="H100" s="44"/>
      <c r="I100" s="261">
        <f>D100</f>
        <v>22.9</v>
      </c>
      <c r="J100" s="263" t="str">
        <f>J65</f>
        <v>ÁREA CONFORME PROJETO</v>
      </c>
      <c r="K100" s="45"/>
    </row>
    <row r="101" spans="1:11" ht="12" customHeight="1" x14ac:dyDescent="0.25">
      <c r="A101" s="462" t="s">
        <v>40</v>
      </c>
      <c r="B101" s="440"/>
      <c r="C101" s="440"/>
      <c r="D101" s="440"/>
      <c r="E101" s="440"/>
      <c r="F101" s="440"/>
      <c r="G101" s="440"/>
      <c r="H101" s="440"/>
      <c r="I101" s="186">
        <f>ROUND(SUM(I100:I100),2)</f>
        <v>22.9</v>
      </c>
      <c r="J101" s="244"/>
    </row>
    <row r="102" spans="1:11" ht="12" customHeight="1" x14ac:dyDescent="0.25">
      <c r="A102" s="426"/>
      <c r="B102" s="435"/>
      <c r="C102" s="435"/>
      <c r="D102" s="435"/>
      <c r="E102" s="435"/>
      <c r="F102" s="435"/>
      <c r="G102" s="435"/>
      <c r="H102" s="435"/>
      <c r="I102" s="445"/>
      <c r="J102" s="436"/>
    </row>
    <row r="103" spans="1:11" ht="13.5" customHeight="1" x14ac:dyDescent="0.25">
      <c r="A103" s="28" t="s">
        <v>100</v>
      </c>
      <c r="B103" s="178" t="str">
        <f>PLANILHA!A40</f>
        <v>6.3</v>
      </c>
      <c r="C103" s="418"/>
      <c r="D103" s="420" t="str">
        <f>PLANILHA!D40</f>
        <v>PLANTIO E PREPARO DE COVAS DE ÁRVORES H MÍN. = 1,80 M COM COVA 60 X 60 X 60 CM, EXCETO FORNECIMENTO DAS MUDAS</v>
      </c>
      <c r="E103" s="421"/>
      <c r="F103" s="421"/>
      <c r="G103" s="421"/>
      <c r="H103" s="421"/>
      <c r="I103" s="421"/>
      <c r="J103" s="422"/>
    </row>
    <row r="104" spans="1:11" ht="12" x14ac:dyDescent="0.25">
      <c r="A104" s="28" t="s">
        <v>32</v>
      </c>
      <c r="B104" s="68" t="str">
        <f>PLANILHA!B40</f>
        <v>ED-50432</v>
      </c>
      <c r="C104" s="456"/>
      <c r="D104" s="423"/>
      <c r="E104" s="458"/>
      <c r="F104" s="424"/>
      <c r="G104" s="458"/>
      <c r="H104" s="424"/>
      <c r="I104" s="424"/>
      <c r="J104" s="424"/>
    </row>
    <row r="105" spans="1:11" ht="15" customHeight="1" x14ac:dyDescent="0.25">
      <c r="A105" s="426"/>
      <c r="B105" s="435"/>
      <c r="C105" s="467"/>
      <c r="D105" s="234" t="str">
        <f>D93</f>
        <v>Quant.</v>
      </c>
      <c r="E105" s="174"/>
      <c r="F105" s="182"/>
      <c r="G105" s="173"/>
      <c r="H105" s="200"/>
      <c r="I105" s="174" t="str">
        <f>I93</f>
        <v>Unidade</v>
      </c>
      <c r="J105" s="29" t="s">
        <v>39</v>
      </c>
      <c r="K105" s="201"/>
    </row>
    <row r="106" spans="1:11" ht="13.8" customHeight="1" x14ac:dyDescent="0.25">
      <c r="A106" s="361"/>
      <c r="B106" s="316"/>
      <c r="C106" s="468"/>
      <c r="D106" s="184">
        <v>4</v>
      </c>
      <c r="E106" s="185"/>
      <c r="F106" s="185"/>
      <c r="G106" s="173"/>
      <c r="H106" s="172"/>
      <c r="I106" s="179">
        <f>D106</f>
        <v>4</v>
      </c>
      <c r="J106" s="183"/>
      <c r="K106" s="199"/>
    </row>
    <row r="107" spans="1:11" ht="12" customHeight="1" x14ac:dyDescent="0.25">
      <c r="A107" s="462" t="s">
        <v>40</v>
      </c>
      <c r="B107" s="440"/>
      <c r="C107" s="440"/>
      <c r="D107" s="440"/>
      <c r="E107" s="440"/>
      <c r="F107" s="440"/>
      <c r="G107" s="440"/>
      <c r="H107" s="440"/>
      <c r="I107" s="186">
        <f>ROUND(SUM(I104:I106),2)</f>
        <v>4</v>
      </c>
      <c r="J107" s="244"/>
    </row>
    <row r="108" spans="1:11" ht="12" customHeight="1" x14ac:dyDescent="0.25">
      <c r="A108" s="426"/>
      <c r="B108" s="435"/>
      <c r="C108" s="435"/>
      <c r="D108" s="435"/>
      <c r="E108" s="435"/>
      <c r="F108" s="435"/>
      <c r="G108" s="435"/>
      <c r="H108" s="435"/>
      <c r="I108" s="435"/>
      <c r="J108" s="435"/>
    </row>
    <row r="109" spans="1:11" ht="13.5" customHeight="1" x14ac:dyDescent="0.25">
      <c r="A109" s="28" t="s">
        <v>100</v>
      </c>
      <c r="B109" s="178" t="str">
        <f>PLANILHA!A41</f>
        <v>6.4</v>
      </c>
      <c r="C109" s="418"/>
      <c r="D109" s="420" t="str">
        <f>PLANILHA!D41</f>
        <v>MUDA DE ÁRVORE CIPRESTE ITALIANO (DEDO DE DEUS)</v>
      </c>
      <c r="E109" s="421"/>
      <c r="F109" s="421"/>
      <c r="G109" s="421"/>
      <c r="H109" s="421"/>
      <c r="I109" s="421"/>
      <c r="J109" s="422"/>
    </row>
    <row r="110" spans="1:11" ht="12" x14ac:dyDescent="0.25">
      <c r="A110" s="28" t="s">
        <v>32</v>
      </c>
      <c r="B110" s="68" t="str">
        <f>PLANILHA!C41</f>
        <v>COTAÇÃO 2</v>
      </c>
      <c r="C110" s="456"/>
      <c r="D110" s="423"/>
      <c r="E110" s="458"/>
      <c r="F110" s="458"/>
      <c r="G110" s="424"/>
      <c r="H110" s="458"/>
      <c r="I110" s="424"/>
      <c r="J110" s="424"/>
    </row>
    <row r="111" spans="1:11" ht="26.25" customHeight="1" x14ac:dyDescent="0.25">
      <c r="A111" s="426"/>
      <c r="B111" s="435"/>
      <c r="C111" s="467"/>
      <c r="D111" s="234" t="str">
        <f>D105</f>
        <v>Quant.</v>
      </c>
      <c r="E111" s="174"/>
      <c r="F111" s="182"/>
      <c r="G111" s="173"/>
      <c r="H111" s="238"/>
      <c r="I111" s="174" t="str">
        <f>I105</f>
        <v>Unidade</v>
      </c>
      <c r="J111" s="29" t="s">
        <v>39</v>
      </c>
      <c r="K111" s="201"/>
    </row>
    <row r="112" spans="1:11" x14ac:dyDescent="0.25">
      <c r="A112" s="361"/>
      <c r="B112" s="316"/>
      <c r="C112" s="468"/>
      <c r="D112" s="184">
        <v>4</v>
      </c>
      <c r="E112" s="185"/>
      <c r="F112" s="185"/>
      <c r="G112" s="173"/>
      <c r="H112" s="172"/>
      <c r="I112" s="179">
        <f>D112</f>
        <v>4</v>
      </c>
      <c r="J112" s="233"/>
      <c r="K112" s="199"/>
    </row>
    <row r="113" spans="1:11" ht="12" customHeight="1" x14ac:dyDescent="0.25">
      <c r="A113" s="462" t="s">
        <v>40</v>
      </c>
      <c r="B113" s="440"/>
      <c r="C113" s="440"/>
      <c r="D113" s="440"/>
      <c r="E113" s="440"/>
      <c r="F113" s="440"/>
      <c r="G113" s="440"/>
      <c r="H113" s="440"/>
      <c r="I113" s="186">
        <f>ROUND(SUM(I110:I112),2)</f>
        <v>4</v>
      </c>
      <c r="J113" s="244"/>
    </row>
    <row r="114" spans="1:11" ht="12" customHeight="1" x14ac:dyDescent="0.25">
      <c r="A114" s="444"/>
      <c r="B114" s="445"/>
      <c r="C114" s="445"/>
      <c r="D114" s="445"/>
      <c r="E114" s="445"/>
      <c r="F114" s="445"/>
      <c r="G114" s="445"/>
      <c r="H114" s="445"/>
      <c r="I114" s="445"/>
      <c r="J114" s="469"/>
    </row>
    <row r="115" spans="1:11" ht="12" customHeight="1" x14ac:dyDescent="0.25">
      <c r="A115" s="444"/>
      <c r="B115" s="445"/>
      <c r="C115" s="445"/>
      <c r="D115" s="445"/>
      <c r="E115" s="445"/>
      <c r="F115" s="445"/>
      <c r="G115" s="445"/>
      <c r="H115" s="445"/>
      <c r="I115" s="445"/>
      <c r="J115" s="445"/>
    </row>
    <row r="116" spans="1:11" ht="12" customHeight="1" x14ac:dyDescent="0.25">
      <c r="A116" s="428" t="str">
        <f>PLANILHA!D43</f>
        <v>PAVIMENTAÇÃ E SINALIZAÇÃO DO ESTACIONAMENTO</v>
      </c>
      <c r="B116" s="429"/>
      <c r="C116" s="429"/>
      <c r="D116" s="429"/>
      <c r="E116" s="429"/>
      <c r="F116" s="429"/>
      <c r="G116" s="429"/>
      <c r="H116" s="429"/>
      <c r="I116" s="429"/>
      <c r="J116" s="430"/>
    </row>
    <row r="117" spans="1:11" s="441" customFormat="1" ht="12.6" customHeight="1" x14ac:dyDescent="0.25">
      <c r="B117" s="394"/>
      <c r="C117" s="394"/>
      <c r="D117" s="394"/>
      <c r="E117" s="394"/>
      <c r="F117" s="394"/>
      <c r="G117" s="394"/>
      <c r="H117" s="394"/>
      <c r="I117" s="394"/>
      <c r="J117" s="394"/>
      <c r="K117" s="394"/>
    </row>
    <row r="118" spans="1:11" ht="13.5" customHeight="1" x14ac:dyDescent="0.25">
      <c r="A118" s="28" t="s">
        <v>100</v>
      </c>
      <c r="B118" s="67" t="str">
        <f>PLANILHA!A44</f>
        <v>7.1</v>
      </c>
      <c r="C118" s="418"/>
      <c r="D118" s="420" t="str">
        <f>PLANILHA!D44</f>
        <v>PINTURA DE LIGAÇÃO (EXECUÇÃO E FORNECIMENTO DO MATERIAL BETUMINOSO, EXCLUSIVE TRANSPORTE DO MATERIAL BETUMINOSO)</v>
      </c>
      <c r="E118" s="421"/>
      <c r="F118" s="421"/>
      <c r="G118" s="421"/>
      <c r="H118" s="421"/>
      <c r="I118" s="421"/>
      <c r="J118" s="422"/>
    </row>
    <row r="119" spans="1:11" ht="12" customHeight="1" x14ac:dyDescent="0.25">
      <c r="A119" s="28" t="s">
        <v>32</v>
      </c>
      <c r="B119" s="68" t="str">
        <f>PLANILHA!B44</f>
        <v>RO-51229</v>
      </c>
      <c r="C119" s="419"/>
      <c r="D119" s="423"/>
      <c r="E119" s="424"/>
      <c r="F119" s="424"/>
      <c r="G119" s="424"/>
      <c r="H119" s="424"/>
      <c r="I119" s="424"/>
      <c r="J119" s="425"/>
    </row>
    <row r="120" spans="1:11" ht="12" customHeight="1" x14ac:dyDescent="0.25">
      <c r="A120" s="426"/>
      <c r="B120" s="427"/>
      <c r="C120" s="44"/>
      <c r="D120" s="6" t="s">
        <v>89</v>
      </c>
      <c r="E120" s="6"/>
      <c r="F120" s="6"/>
      <c r="G120" s="6"/>
      <c r="H120" s="7"/>
      <c r="I120" s="7" t="str">
        <f>I99</f>
        <v>Área Total (m²)</v>
      </c>
      <c r="J120" s="29" t="s">
        <v>39</v>
      </c>
    </row>
    <row r="121" spans="1:11" ht="12" customHeight="1" x14ac:dyDescent="0.25">
      <c r="A121" s="361" t="s">
        <v>196</v>
      </c>
      <c r="B121" s="317"/>
      <c r="C121" s="44"/>
      <c r="D121" s="180">
        <v>131.79</v>
      </c>
      <c r="E121" s="180"/>
      <c r="F121" s="1"/>
      <c r="G121" s="1"/>
      <c r="H121" s="7"/>
      <c r="I121" s="180">
        <f>ROUND(SUM(D121),2)</f>
        <v>131.79</v>
      </c>
      <c r="J121" s="29"/>
    </row>
    <row r="122" spans="1:11" ht="12" customHeight="1" x14ac:dyDescent="0.25">
      <c r="A122" s="449" t="s">
        <v>40</v>
      </c>
      <c r="B122" s="449"/>
      <c r="C122" s="449"/>
      <c r="D122" s="449"/>
      <c r="E122" s="449"/>
      <c r="F122" s="449"/>
      <c r="G122" s="449"/>
      <c r="H122" s="449"/>
      <c r="I122" s="186">
        <f>ROUND(SUM(I121:I121),2)</f>
        <v>131.79</v>
      </c>
      <c r="J122" s="237"/>
    </row>
    <row r="123" spans="1:11" ht="12" customHeight="1" x14ac:dyDescent="0.25">
      <c r="A123" s="461"/>
      <c r="B123" s="461"/>
      <c r="C123" s="461"/>
      <c r="D123" s="461"/>
      <c r="E123" s="461"/>
      <c r="F123" s="461"/>
      <c r="G123" s="461"/>
      <c r="H123" s="461"/>
      <c r="I123" s="461"/>
      <c r="J123" s="461"/>
    </row>
    <row r="124" spans="1:11" ht="13.5" customHeight="1" x14ac:dyDescent="0.25">
      <c r="A124" s="248" t="s">
        <v>100</v>
      </c>
      <c r="B124" s="249" t="str">
        <f>PLANILHA!A45</f>
        <v>7.2</v>
      </c>
      <c r="C124" s="456"/>
      <c r="D124" s="457" t="str">
        <f>PLANILHA!D45</f>
        <v>CONCRETO BETUMINOSO USINADO A QUENTE - CBUQ (EXECUÇÃO, INCLUINDO USINAGEM, APLICAÇÃO, ESPALHAMENTO E COMPACTAÇÃO, FORNECIMENTO DOS AGREGADOS E MATERIAL BETUMINOSO, EXCLUI TRANSPORTE DOS AGREGADOS E DO MATERIAL BETUMINOSO ATÉ USINA E DA MASSA PRONTA ATÉ A  PISTA)</v>
      </c>
      <c r="E124" s="458"/>
      <c r="F124" s="458"/>
      <c r="G124" s="458"/>
      <c r="H124" s="458"/>
      <c r="I124" s="458"/>
      <c r="J124" s="459"/>
    </row>
    <row r="125" spans="1:11" ht="13.8" customHeight="1" x14ac:dyDescent="0.25">
      <c r="A125" s="28" t="s">
        <v>32</v>
      </c>
      <c r="B125" s="68" t="str">
        <f>PLANILHA!B45</f>
        <v>RO-14019</v>
      </c>
      <c r="C125" s="419"/>
      <c r="D125" s="423"/>
      <c r="E125" s="424"/>
      <c r="F125" s="424"/>
      <c r="G125" s="424"/>
      <c r="H125" s="424"/>
      <c r="I125" s="424"/>
      <c r="J125" s="425"/>
    </row>
    <row r="126" spans="1:11" ht="12" customHeight="1" x14ac:dyDescent="0.25">
      <c r="A126" s="426"/>
      <c r="B126" s="427"/>
      <c r="C126" s="44"/>
      <c r="D126" s="6" t="str">
        <f>D120</f>
        <v>Área</v>
      </c>
      <c r="E126" s="6" t="s">
        <v>36</v>
      </c>
      <c r="F126" s="6"/>
      <c r="G126" s="6"/>
      <c r="H126" s="7"/>
      <c r="I126" s="7" t="s">
        <v>136</v>
      </c>
      <c r="J126" s="29" t="s">
        <v>39</v>
      </c>
    </row>
    <row r="127" spans="1:11" ht="12" customHeight="1" x14ac:dyDescent="0.25">
      <c r="A127" s="361" t="str">
        <f>A121</f>
        <v>ÁREA DO ESTACONAMENTO</v>
      </c>
      <c r="B127" s="317"/>
      <c r="C127" s="44"/>
      <c r="D127" s="180">
        <f>D121</f>
        <v>131.79</v>
      </c>
      <c r="E127" s="180">
        <v>0.04</v>
      </c>
      <c r="F127" s="180"/>
      <c r="G127" s="1"/>
      <c r="H127" s="1"/>
      <c r="I127" s="1">
        <f>ROUND(SUM(D127*E127),2)</f>
        <v>5.27</v>
      </c>
      <c r="J127" s="245"/>
    </row>
    <row r="128" spans="1:11" ht="12" customHeight="1" x14ac:dyDescent="0.25">
      <c r="A128" s="473" t="s">
        <v>40</v>
      </c>
      <c r="B128" s="474"/>
      <c r="C128" s="474"/>
      <c r="D128" s="474"/>
      <c r="E128" s="474"/>
      <c r="F128" s="474"/>
      <c r="G128" s="474"/>
      <c r="H128" s="475"/>
      <c r="I128" s="171">
        <f>ROUND(SUM(I127:I127),2)</f>
        <v>5.27</v>
      </c>
      <c r="J128" s="30"/>
    </row>
    <row r="129" spans="1:11" ht="11.4" customHeight="1" x14ac:dyDescent="0.25">
      <c r="A129" s="426"/>
      <c r="B129" s="435"/>
      <c r="C129" s="435"/>
      <c r="D129" s="435"/>
      <c r="E129" s="435"/>
      <c r="F129" s="435"/>
      <c r="G129" s="435"/>
      <c r="H129" s="435"/>
      <c r="I129" s="435"/>
      <c r="J129" s="436"/>
    </row>
    <row r="130" spans="1:11" ht="10.8" customHeight="1" x14ac:dyDescent="0.25">
      <c r="A130" s="248" t="s">
        <v>100</v>
      </c>
      <c r="B130" s="249" t="str">
        <f>PLANILHA!A46</f>
        <v>7.3</v>
      </c>
      <c r="C130" s="456"/>
      <c r="D130" s="457" t="str">
        <f>PLANILHA!D46</f>
        <v>TRANSPORTE DE CONCRETO BETUMINOSO USINADO A QUENTE. DISTÂNCIA MÉDIA DE TRANSPORTE &gt; 50,00 KM (VOLUME COMPACTADO)</v>
      </c>
      <c r="E130" s="458"/>
      <c r="F130" s="458"/>
      <c r="G130" s="458"/>
      <c r="H130" s="458"/>
      <c r="I130" s="458"/>
      <c r="J130" s="459"/>
    </row>
    <row r="131" spans="1:11" ht="13.8" customHeight="1" x14ac:dyDescent="0.25">
      <c r="A131" s="28" t="s">
        <v>32</v>
      </c>
      <c r="B131" s="68" t="str">
        <f>PLANILHA!B46</f>
        <v>RO-14038</v>
      </c>
      <c r="C131" s="419"/>
      <c r="D131" s="423"/>
      <c r="E131" s="424"/>
      <c r="F131" s="424"/>
      <c r="G131" s="424"/>
      <c r="H131" s="424"/>
      <c r="I131" s="424"/>
      <c r="J131" s="425"/>
    </row>
    <row r="132" spans="1:11" ht="12" customHeight="1" x14ac:dyDescent="0.25">
      <c r="A132" s="426"/>
      <c r="B132" s="427"/>
      <c r="C132" s="44"/>
      <c r="D132" s="6" t="s">
        <v>89</v>
      </c>
      <c r="E132" s="6" t="s">
        <v>37</v>
      </c>
      <c r="F132" s="6" t="s">
        <v>198</v>
      </c>
      <c r="G132" s="6" t="s">
        <v>199</v>
      </c>
      <c r="H132" s="7"/>
      <c r="I132" s="7" t="s">
        <v>200</v>
      </c>
      <c r="J132" s="29" t="s">
        <v>39</v>
      </c>
    </row>
    <row r="133" spans="1:11" ht="12" customHeight="1" x14ac:dyDescent="0.25">
      <c r="A133" s="361" t="s">
        <v>197</v>
      </c>
      <c r="B133" s="317"/>
      <c r="C133" s="44" t="s">
        <v>203</v>
      </c>
      <c r="D133" s="180">
        <f>D127</f>
        <v>131.79</v>
      </c>
      <c r="E133" s="180">
        <v>1</v>
      </c>
      <c r="F133" s="280">
        <v>5.0000000000000001E-4</v>
      </c>
      <c r="G133" s="180">
        <v>101</v>
      </c>
      <c r="H133" s="1"/>
      <c r="I133" s="180">
        <f>ROUND(SUM(D133*E133*F133*G133),2)</f>
        <v>6.66</v>
      </c>
      <c r="J133" s="245" t="s">
        <v>201</v>
      </c>
    </row>
    <row r="134" spans="1:11" ht="12" customHeight="1" x14ac:dyDescent="0.25">
      <c r="A134" s="449" t="s">
        <v>40</v>
      </c>
      <c r="B134" s="449"/>
      <c r="C134" s="449"/>
      <c r="D134" s="449"/>
      <c r="E134" s="449"/>
      <c r="F134" s="449"/>
      <c r="G134" s="449"/>
      <c r="H134" s="449"/>
      <c r="I134" s="186">
        <f>ROUND(SUM(I133:I133),2)</f>
        <v>6.66</v>
      </c>
      <c r="J134" s="237"/>
    </row>
    <row r="135" spans="1:11" ht="12" customHeight="1" x14ac:dyDescent="0.25">
      <c r="A135" s="461"/>
      <c r="B135" s="461"/>
      <c r="C135" s="461"/>
      <c r="D135" s="461"/>
      <c r="E135" s="461"/>
      <c r="F135" s="461"/>
      <c r="G135" s="461"/>
      <c r="H135" s="461"/>
      <c r="I135" s="461"/>
      <c r="J135" s="461"/>
      <c r="K135" s="175"/>
    </row>
    <row r="136" spans="1:11" ht="13.5" customHeight="1" x14ac:dyDescent="0.25">
      <c r="A136" s="248" t="s">
        <v>100</v>
      </c>
      <c r="B136" s="249" t="str">
        <f>PLANILHA!A47</f>
        <v>7.4</v>
      </c>
      <c r="C136" s="456"/>
      <c r="D136" s="457" t="str">
        <f>PLANILHA!D47</f>
        <v>TRANSPORTE DE CONCRETO BETUMINOSO USINADO A QUENTE. DISTÂNCIA MÉDIA DE TRANSPORTE &gt; 50,00 KM (VOLUME COMPACTADO)</v>
      </c>
      <c r="E136" s="458"/>
      <c r="F136" s="458"/>
      <c r="G136" s="458"/>
      <c r="H136" s="458"/>
      <c r="I136" s="458"/>
      <c r="J136" s="459"/>
    </row>
    <row r="137" spans="1:11" ht="13.8" customHeight="1" x14ac:dyDescent="0.25">
      <c r="A137" s="28" t="s">
        <v>32</v>
      </c>
      <c r="B137" s="68" t="str">
        <f>PLANILHA!B47</f>
        <v>RO-14038</v>
      </c>
      <c r="C137" s="419"/>
      <c r="D137" s="423"/>
      <c r="E137" s="424"/>
      <c r="F137" s="424"/>
      <c r="G137" s="424"/>
      <c r="H137" s="424"/>
      <c r="I137" s="424"/>
      <c r="J137" s="425"/>
    </row>
    <row r="138" spans="1:11" ht="12" customHeight="1" x14ac:dyDescent="0.25">
      <c r="A138" s="426"/>
      <c r="B138" s="427"/>
      <c r="C138" s="44"/>
      <c r="D138" s="6" t="s">
        <v>208</v>
      </c>
      <c r="E138" s="6" t="s">
        <v>37</v>
      </c>
      <c r="F138" s="6" t="s">
        <v>206</v>
      </c>
      <c r="G138" s="6" t="s">
        <v>199</v>
      </c>
      <c r="H138" s="7"/>
      <c r="I138" s="7" t="s">
        <v>200</v>
      </c>
      <c r="J138" s="29" t="s">
        <v>39</v>
      </c>
    </row>
    <row r="139" spans="1:11" ht="12" customHeight="1" x14ac:dyDescent="0.25">
      <c r="A139" s="361" t="s">
        <v>197</v>
      </c>
      <c r="B139" s="317"/>
      <c r="C139" s="44" t="s">
        <v>204</v>
      </c>
      <c r="D139" s="180">
        <f>I128</f>
        <v>5.27</v>
      </c>
      <c r="E139" s="180">
        <v>1</v>
      </c>
      <c r="F139" s="280">
        <v>0.14399999999999999</v>
      </c>
      <c r="G139" s="180">
        <v>101</v>
      </c>
      <c r="H139" s="1"/>
      <c r="I139" s="180">
        <f>ROUND(SUM(D139*E139*F139*G139),2)</f>
        <v>76.650000000000006</v>
      </c>
      <c r="J139" s="245" t="s">
        <v>213</v>
      </c>
    </row>
    <row r="140" spans="1:11" ht="12" customHeight="1" x14ac:dyDescent="0.25">
      <c r="A140" s="449" t="s">
        <v>40</v>
      </c>
      <c r="B140" s="449"/>
      <c r="C140" s="449"/>
      <c r="D140" s="449"/>
      <c r="E140" s="449"/>
      <c r="F140" s="449"/>
      <c r="G140" s="449"/>
      <c r="H140" s="449"/>
      <c r="I140" s="186">
        <f>ROUND(SUM(I139:I139),2)</f>
        <v>76.650000000000006</v>
      </c>
      <c r="J140" s="262"/>
    </row>
    <row r="141" spans="1:11" s="367" customFormat="1" x14ac:dyDescent="0.25"/>
    <row r="142" spans="1:11" ht="13.5" customHeight="1" x14ac:dyDescent="0.25">
      <c r="A142" s="248" t="s">
        <v>100</v>
      </c>
      <c r="B142" s="249" t="str">
        <f>PLANILHA!A48</f>
        <v>7.5</v>
      </c>
      <c r="C142" s="456"/>
      <c r="D142" s="457" t="str">
        <f>PLANILHA!D48</f>
        <v>TRANSPORTE DE CONCRETO BETUMINOSO USINADO A QUENTE. DISTÂNCIA MÉDIA DE TRANSPORTE &gt; 50,00 KM (VOLUME COMPACTADO)</v>
      </c>
      <c r="E142" s="458"/>
      <c r="F142" s="458"/>
      <c r="G142" s="458"/>
      <c r="H142" s="458"/>
      <c r="I142" s="458"/>
      <c r="J142" s="459"/>
    </row>
    <row r="143" spans="1:11" ht="13.8" customHeight="1" x14ac:dyDescent="0.25">
      <c r="A143" s="28" t="s">
        <v>32</v>
      </c>
      <c r="B143" s="68" t="str">
        <f>PLANILHA!B48</f>
        <v>RO-14038</v>
      </c>
      <c r="C143" s="419"/>
      <c r="D143" s="423"/>
      <c r="E143" s="424"/>
      <c r="F143" s="424"/>
      <c r="G143" s="424"/>
      <c r="H143" s="424"/>
      <c r="I143" s="424"/>
      <c r="J143" s="425"/>
    </row>
    <row r="144" spans="1:11" ht="12" customHeight="1" x14ac:dyDescent="0.25">
      <c r="A144" s="426"/>
      <c r="B144" s="427"/>
      <c r="C144" s="44"/>
      <c r="D144" s="6" t="s">
        <v>208</v>
      </c>
      <c r="E144" s="6" t="s">
        <v>37</v>
      </c>
      <c r="F144" s="6" t="s">
        <v>207</v>
      </c>
      <c r="G144" s="6" t="s">
        <v>199</v>
      </c>
      <c r="H144" s="7"/>
      <c r="I144" s="7" t="s">
        <v>200</v>
      </c>
      <c r="J144" s="29" t="s">
        <v>39</v>
      </c>
    </row>
    <row r="145" spans="1:10" ht="12" customHeight="1" x14ac:dyDescent="0.25">
      <c r="A145" s="361" t="s">
        <v>197</v>
      </c>
      <c r="B145" s="317"/>
      <c r="C145" s="44" t="s">
        <v>205</v>
      </c>
      <c r="D145" s="180">
        <f>I128</f>
        <v>5.27</v>
      </c>
      <c r="E145" s="180">
        <v>1</v>
      </c>
      <c r="F145" s="280">
        <v>2.4</v>
      </c>
      <c r="G145" s="180">
        <v>101</v>
      </c>
      <c r="H145" s="1"/>
      <c r="I145" s="180">
        <f>ROUND(SUM(D145*E145*F145*G145),2)</f>
        <v>1277.45</v>
      </c>
      <c r="J145" s="245" t="s">
        <v>205</v>
      </c>
    </row>
    <row r="146" spans="1:10" ht="12" customHeight="1" x14ac:dyDescent="0.25">
      <c r="A146" s="449" t="s">
        <v>40</v>
      </c>
      <c r="B146" s="449"/>
      <c r="C146" s="449"/>
      <c r="D146" s="449"/>
      <c r="E146" s="449"/>
      <c r="F146" s="449"/>
      <c r="G146" s="449"/>
      <c r="H146" s="449"/>
      <c r="I146" s="186">
        <f>ROUND(SUM(I145:I145),2)</f>
        <v>1277.45</v>
      </c>
      <c r="J146" s="262"/>
    </row>
    <row r="147" spans="1:10" ht="12" customHeight="1" x14ac:dyDescent="0.25">
      <c r="A147" s="460"/>
      <c r="B147" s="460"/>
      <c r="C147" s="460"/>
      <c r="D147" s="460"/>
      <c r="E147" s="460"/>
      <c r="F147" s="460"/>
      <c r="G147" s="460"/>
      <c r="H147" s="460"/>
      <c r="I147" s="460"/>
      <c r="J147" s="460"/>
    </row>
    <row r="148" spans="1:10" ht="13.5" customHeight="1" x14ac:dyDescent="0.25">
      <c r="A148" s="248" t="s">
        <v>100</v>
      </c>
      <c r="B148" s="249" t="str">
        <f>PLANILHA!A49</f>
        <v>7.6</v>
      </c>
      <c r="C148" s="456"/>
      <c r="D148" s="457" t="str">
        <f>PLANILHA!D50</f>
        <v>TRANSPORTE DE AGREGADOS PARA CONSERVAÇÃO. DISTÂNCIA MÉDIA DE TRANSPORTE &lt;= 10,00 KM</v>
      </c>
      <c r="E148" s="458"/>
      <c r="F148" s="458"/>
      <c r="G148" s="458"/>
      <c r="H148" s="458"/>
      <c r="I148" s="458"/>
      <c r="J148" s="459"/>
    </row>
    <row r="149" spans="1:10" ht="13.8" customHeight="1" x14ac:dyDescent="0.25">
      <c r="A149" s="28" t="s">
        <v>32</v>
      </c>
      <c r="B149" s="68" t="str">
        <f>PLANILHA!B50</f>
        <v>RO-41345</v>
      </c>
      <c r="C149" s="419"/>
      <c r="D149" s="423"/>
      <c r="E149" s="424"/>
      <c r="F149" s="424"/>
      <c r="G149" s="424"/>
      <c r="H149" s="424"/>
      <c r="I149" s="424"/>
      <c r="J149" s="425"/>
    </row>
    <row r="150" spans="1:10" ht="12" customHeight="1" x14ac:dyDescent="0.25">
      <c r="A150" s="426"/>
      <c r="B150" s="427"/>
      <c r="C150" s="44"/>
      <c r="D150" s="6" t="s">
        <v>208</v>
      </c>
      <c r="E150" s="6" t="s">
        <v>37</v>
      </c>
      <c r="F150" s="6" t="s">
        <v>211</v>
      </c>
      <c r="G150" s="6" t="s">
        <v>199</v>
      </c>
      <c r="H150" s="7"/>
      <c r="I150" s="7" t="s">
        <v>200</v>
      </c>
      <c r="J150" s="29" t="s">
        <v>39</v>
      </c>
    </row>
    <row r="151" spans="1:10" ht="12" customHeight="1" x14ac:dyDescent="0.25">
      <c r="A151" s="361" t="s">
        <v>210</v>
      </c>
      <c r="B151" s="317"/>
      <c r="C151" s="44" t="s">
        <v>209</v>
      </c>
      <c r="D151" s="180">
        <f>I128</f>
        <v>5.27</v>
      </c>
      <c r="E151" s="180">
        <v>1</v>
      </c>
      <c r="F151" s="280">
        <v>0.23</v>
      </c>
      <c r="G151" s="180">
        <v>5</v>
      </c>
      <c r="H151" s="1"/>
      <c r="I151" s="180">
        <f>SUM(D151*E151*F151*G151)</f>
        <v>6.0604999999999993</v>
      </c>
      <c r="J151" s="245" t="s">
        <v>209</v>
      </c>
    </row>
    <row r="152" spans="1:10" ht="12" customHeight="1" x14ac:dyDescent="0.25">
      <c r="A152" s="449" t="s">
        <v>40</v>
      </c>
      <c r="B152" s="449"/>
      <c r="C152" s="449"/>
      <c r="D152" s="449"/>
      <c r="E152" s="449"/>
      <c r="F152" s="449"/>
      <c r="G152" s="449"/>
      <c r="H152" s="449"/>
      <c r="I152" s="186">
        <f>ROUND(SUM(I151:I151),2)</f>
        <v>6.06</v>
      </c>
      <c r="J152" s="262"/>
    </row>
    <row r="153" spans="1:10" ht="12" customHeight="1" x14ac:dyDescent="0.25">
      <c r="A153" s="460"/>
      <c r="B153" s="460"/>
      <c r="C153" s="460"/>
      <c r="D153" s="460"/>
      <c r="E153" s="460"/>
      <c r="F153" s="460"/>
      <c r="G153" s="460"/>
      <c r="H153" s="460"/>
      <c r="I153" s="460"/>
      <c r="J153" s="460"/>
    </row>
    <row r="154" spans="1:10" ht="13.5" customHeight="1" x14ac:dyDescent="0.25">
      <c r="A154" s="248" t="s">
        <v>100</v>
      </c>
      <c r="B154" s="249" t="str">
        <f>PLANILHA!A50</f>
        <v>7.7</v>
      </c>
      <c r="C154" s="456"/>
      <c r="D154" s="457" t="str">
        <f>PLANILHA!D50</f>
        <v>TRANSPORTE DE AGREGADOS PARA CONSERVAÇÃO. DISTÂNCIA MÉDIA DE TRANSPORTE &lt;= 10,00 KM</v>
      </c>
      <c r="E154" s="458"/>
      <c r="F154" s="458"/>
      <c r="G154" s="458"/>
      <c r="H154" s="458"/>
      <c r="I154" s="458"/>
      <c r="J154" s="459"/>
    </row>
    <row r="155" spans="1:10" ht="13.8" customHeight="1" x14ac:dyDescent="0.25">
      <c r="A155" s="28" t="s">
        <v>32</v>
      </c>
      <c r="B155" s="68" t="str">
        <f>PLANILHA!B50</f>
        <v>RO-41345</v>
      </c>
      <c r="C155" s="419"/>
      <c r="D155" s="423"/>
      <c r="E155" s="424"/>
      <c r="F155" s="424"/>
      <c r="G155" s="424"/>
      <c r="H155" s="424"/>
      <c r="I155" s="424"/>
      <c r="J155" s="425"/>
    </row>
    <row r="156" spans="1:10" ht="12" customHeight="1" x14ac:dyDescent="0.25">
      <c r="A156" s="426"/>
      <c r="B156" s="427"/>
      <c r="C156" s="44"/>
      <c r="D156" s="6" t="s">
        <v>208</v>
      </c>
      <c r="E156" s="6" t="s">
        <v>37</v>
      </c>
      <c r="F156" s="6" t="s">
        <v>212</v>
      </c>
      <c r="G156" s="6" t="s">
        <v>199</v>
      </c>
      <c r="H156" s="7"/>
      <c r="I156" s="7" t="s">
        <v>200</v>
      </c>
      <c r="J156" s="29" t="s">
        <v>39</v>
      </c>
    </row>
    <row r="157" spans="1:10" ht="12" customHeight="1" x14ac:dyDescent="0.25">
      <c r="A157" s="361" t="s">
        <v>197</v>
      </c>
      <c r="B157" s="317"/>
      <c r="C157" s="44" t="s">
        <v>205</v>
      </c>
      <c r="D157" s="180">
        <f>I128</f>
        <v>5.27</v>
      </c>
      <c r="E157" s="180">
        <v>1</v>
      </c>
      <c r="F157" s="280">
        <v>1.32</v>
      </c>
      <c r="G157" s="180">
        <v>5</v>
      </c>
      <c r="H157" s="1"/>
      <c r="I157" s="180">
        <f>SUM(D157*E157*F157*G157)</f>
        <v>34.781999999999996</v>
      </c>
      <c r="J157" s="245" t="s">
        <v>214</v>
      </c>
    </row>
    <row r="158" spans="1:10" ht="12" customHeight="1" x14ac:dyDescent="0.25">
      <c r="A158" s="449" t="s">
        <v>40</v>
      </c>
      <c r="B158" s="449"/>
      <c r="C158" s="449"/>
      <c r="D158" s="449"/>
      <c r="E158" s="449"/>
      <c r="F158" s="449"/>
      <c r="G158" s="449"/>
      <c r="H158" s="449"/>
      <c r="I158" s="186">
        <f>ROUND(SUM(I157:I157),2)</f>
        <v>34.78</v>
      </c>
      <c r="J158" s="262"/>
    </row>
    <row r="159" spans="1:10" ht="11.4" customHeight="1" x14ac:dyDescent="0.25">
      <c r="A159" s="426"/>
      <c r="B159" s="435"/>
      <c r="C159" s="435"/>
      <c r="D159" s="435"/>
      <c r="E159" s="435"/>
      <c r="F159" s="435"/>
      <c r="G159" s="435"/>
      <c r="H159" s="435"/>
      <c r="I159" s="435"/>
      <c r="J159" s="436"/>
    </row>
    <row r="160" spans="1:10" ht="10.8" customHeight="1" x14ac:dyDescent="0.25">
      <c r="A160" s="248" t="s">
        <v>100</v>
      </c>
      <c r="B160" s="249" t="str">
        <f>PLANILHA!A51</f>
        <v>7.8</v>
      </c>
      <c r="C160" s="456"/>
      <c r="D160" s="457" t="str">
        <f>PLANILHA!D51</f>
        <v>SETAS, SIMBOLOS E DIZERES DE RESINA ACRÍLICA 0,6MM DE ESPESSURA (EXECUÇÃO, INCLUINDO PRÉ-MARCAÇÃO, FORNECIMENTO E TRANSPORTE DE TODOS OS MATERIAIS)</v>
      </c>
      <c r="E160" s="458"/>
      <c r="F160" s="458"/>
      <c r="G160" s="458"/>
      <c r="H160" s="458"/>
      <c r="I160" s="458"/>
      <c r="J160" s="459"/>
    </row>
    <row r="161" spans="1:11" ht="13.8" customHeight="1" x14ac:dyDescent="0.25">
      <c r="A161" s="28" t="s">
        <v>32</v>
      </c>
      <c r="B161" s="68" t="str">
        <f>PLANILHA!B51</f>
        <v>RO-41779</v>
      </c>
      <c r="C161" s="419"/>
      <c r="D161" s="423"/>
      <c r="E161" s="424"/>
      <c r="F161" s="424"/>
      <c r="G161" s="424"/>
      <c r="H161" s="424"/>
      <c r="I161" s="424"/>
      <c r="J161" s="425"/>
    </row>
    <row r="162" spans="1:11" ht="12" customHeight="1" x14ac:dyDescent="0.25">
      <c r="A162" s="426"/>
      <c r="B162" s="427"/>
      <c r="C162" s="44"/>
      <c r="D162" s="6" t="s">
        <v>216</v>
      </c>
      <c r="E162" s="6" t="s">
        <v>37</v>
      </c>
      <c r="F162" s="6"/>
      <c r="G162" s="6"/>
      <c r="H162" s="7"/>
      <c r="I162" s="7" t="str">
        <f>I120</f>
        <v>Área Total (m²)</v>
      </c>
      <c r="J162" s="29" t="s">
        <v>39</v>
      </c>
    </row>
    <row r="163" spans="1:11" ht="12" customHeight="1" x14ac:dyDescent="0.25">
      <c r="A163" s="361" t="s">
        <v>215</v>
      </c>
      <c r="B163" s="317"/>
      <c r="C163" s="44" t="s">
        <v>217</v>
      </c>
      <c r="D163" s="180">
        <f>SUM(2.9*1.2+1.2*1.2)</f>
        <v>4.92</v>
      </c>
      <c r="E163" s="180">
        <v>3</v>
      </c>
      <c r="F163" s="180"/>
      <c r="G163" s="1"/>
      <c r="H163" s="1"/>
      <c r="I163" s="1">
        <f>ROUND(SUM(D163*E163),2)</f>
        <v>14.76</v>
      </c>
      <c r="J163" s="245"/>
    </row>
    <row r="164" spans="1:11" ht="12" customHeight="1" x14ac:dyDescent="0.25">
      <c r="A164" s="361" t="s">
        <v>219</v>
      </c>
      <c r="B164" s="317"/>
      <c r="C164" s="44" t="s">
        <v>220</v>
      </c>
      <c r="D164" s="180">
        <f>SUM(1.5*10.97)</f>
        <v>16.455000000000002</v>
      </c>
      <c r="E164" s="180">
        <v>1</v>
      </c>
      <c r="F164" s="180"/>
      <c r="G164" s="1"/>
      <c r="H164" s="1"/>
      <c r="I164" s="1">
        <f>ROUND(SUM(D164*E164),2)</f>
        <v>16.46</v>
      </c>
      <c r="J164" s="245"/>
    </row>
    <row r="165" spans="1:11" ht="12" customHeight="1" x14ac:dyDescent="0.25">
      <c r="A165" s="449" t="s">
        <v>40</v>
      </c>
      <c r="B165" s="449"/>
      <c r="C165" s="449"/>
      <c r="D165" s="449"/>
      <c r="E165" s="449"/>
      <c r="F165" s="449"/>
      <c r="G165" s="449"/>
      <c r="H165" s="449"/>
      <c r="I165" s="186">
        <f>ROUND(SUM(I163:I164),2)</f>
        <v>31.22</v>
      </c>
      <c r="J165" s="258"/>
    </row>
    <row r="166" spans="1:11" ht="12" customHeight="1" x14ac:dyDescent="0.25">
      <c r="A166" s="461"/>
      <c r="B166" s="461"/>
      <c r="C166" s="461"/>
      <c r="D166" s="461"/>
      <c r="E166" s="461"/>
      <c r="F166" s="461"/>
      <c r="G166" s="461"/>
      <c r="H166" s="461"/>
      <c r="I166" s="461"/>
      <c r="J166" s="461"/>
      <c r="K166" s="175"/>
    </row>
    <row r="167" spans="1:11" ht="13.5" customHeight="1" x14ac:dyDescent="0.25">
      <c r="A167" s="248" t="s">
        <v>100</v>
      </c>
      <c r="B167" s="249" t="str">
        <f>PLANILHA!A52</f>
        <v>7.9</v>
      </c>
      <c r="C167" s="456"/>
      <c r="D167" s="457" t="str">
        <f>PLANILHA!D52</f>
        <v>LINHAS DE RESINA ACRILICA DE  0,6MM  DE ESPESSURA E LARGURA  = 0,10M (EXECUÇÃO, INCLUINDO PRÉ-MARCAÇÃO, FORNECIMENTO E TRANSPORTE DE TODOS OS MATERIAIS)</v>
      </c>
      <c r="E167" s="458"/>
      <c r="F167" s="458"/>
      <c r="G167" s="458"/>
      <c r="H167" s="458"/>
      <c r="I167" s="458"/>
      <c r="J167" s="459"/>
    </row>
    <row r="168" spans="1:11" ht="13.8" customHeight="1" x14ac:dyDescent="0.25">
      <c r="A168" s="28" t="s">
        <v>32</v>
      </c>
      <c r="B168" s="68" t="str">
        <f>PLANILHA!B52</f>
        <v>RO-41237</v>
      </c>
      <c r="C168" s="419"/>
      <c r="D168" s="423"/>
      <c r="E168" s="424"/>
      <c r="F168" s="424"/>
      <c r="G168" s="424"/>
      <c r="H168" s="424"/>
      <c r="I168" s="424"/>
      <c r="J168" s="425"/>
    </row>
    <row r="169" spans="1:11" ht="12" customHeight="1" x14ac:dyDescent="0.25">
      <c r="A169" s="426"/>
      <c r="B169" s="427"/>
      <c r="C169" s="44"/>
      <c r="D169" s="6" t="s">
        <v>34</v>
      </c>
      <c r="E169" s="6" t="str">
        <f>E162</f>
        <v>Repet.</v>
      </c>
      <c r="F169" s="6"/>
      <c r="G169" s="6"/>
      <c r="H169" s="7"/>
      <c r="I169" s="7" t="s">
        <v>182</v>
      </c>
      <c r="J169" s="29" t="s">
        <v>39</v>
      </c>
    </row>
    <row r="170" spans="1:11" ht="12" customHeight="1" x14ac:dyDescent="0.25">
      <c r="A170" s="361" t="s">
        <v>218</v>
      </c>
      <c r="B170" s="317"/>
      <c r="C170" s="44"/>
      <c r="D170" s="180">
        <v>2.9</v>
      </c>
      <c r="E170" s="180">
        <v>12</v>
      </c>
      <c r="F170" s="180"/>
      <c r="G170" s="1"/>
      <c r="H170" s="1"/>
      <c r="I170" s="1">
        <f>ROUND(SUM(D170*E170),2)</f>
        <v>34.799999999999997</v>
      </c>
      <c r="J170" s="245"/>
    </row>
    <row r="171" spans="1:11" s="173" customFormat="1" ht="12" customHeight="1" x14ac:dyDescent="0.25">
      <c r="A171" s="449" t="s">
        <v>40</v>
      </c>
      <c r="B171" s="449"/>
      <c r="C171" s="449"/>
      <c r="D171" s="449"/>
      <c r="E171" s="449"/>
      <c r="F171" s="449"/>
      <c r="G171" s="449"/>
      <c r="H171" s="449"/>
      <c r="I171" s="186">
        <f>ROUND(SUM(I170:I170),2)</f>
        <v>34.799999999999997</v>
      </c>
      <c r="J171" s="258"/>
    </row>
    <row r="172" spans="1:11" s="367" customFormat="1" x14ac:dyDescent="0.25"/>
    <row r="173" spans="1:11" ht="13.5" customHeight="1" x14ac:dyDescent="0.25">
      <c r="A173" s="248" t="s">
        <v>100</v>
      </c>
      <c r="B173" s="249" t="str">
        <f>PLANILHA!A53</f>
        <v>7.10</v>
      </c>
      <c r="C173" s="456"/>
      <c r="D173" s="457" t="str">
        <f>PLANILHA!D53</f>
        <v>PLACA DE AÇO CARBONO COM PELÍCULA REFLETIVA GRAU TÉCNICO TIPO I DA ABNT - PLACA RETANGULAR (EXECUÇÃO, INCLUINDO FORNECIMENTO E TRANSPORTE DE TODOS OS MATERIAIS, INCLUSIVE POSTE DE SUSTENTAÇÃO)</v>
      </c>
      <c r="E173" s="458"/>
      <c r="F173" s="458"/>
      <c r="G173" s="458"/>
      <c r="H173" s="458"/>
      <c r="I173" s="458"/>
      <c r="J173" s="459"/>
    </row>
    <row r="174" spans="1:11" ht="13.8" customHeight="1" x14ac:dyDescent="0.25">
      <c r="A174" s="28" t="s">
        <v>32</v>
      </c>
      <c r="B174" s="68" t="str">
        <f>PLANILHA!B53</f>
        <v>RO-42193</v>
      </c>
      <c r="C174" s="419"/>
      <c r="D174" s="423"/>
      <c r="E174" s="424"/>
      <c r="F174" s="424"/>
      <c r="G174" s="424"/>
      <c r="H174" s="424"/>
      <c r="I174" s="424"/>
      <c r="J174" s="425"/>
    </row>
    <row r="175" spans="1:11" ht="12" customHeight="1" x14ac:dyDescent="0.25">
      <c r="A175" s="426"/>
      <c r="B175" s="427"/>
      <c r="C175" s="44"/>
      <c r="D175" s="6" t="s">
        <v>89</v>
      </c>
      <c r="E175" s="6"/>
      <c r="F175" s="6"/>
      <c r="G175" s="6"/>
      <c r="H175" s="7"/>
      <c r="I175" s="7" t="str">
        <f>I183</f>
        <v>Área Total (m²)</v>
      </c>
      <c r="J175" s="29" t="s">
        <v>39</v>
      </c>
    </row>
    <row r="176" spans="1:11" ht="18" customHeight="1" x14ac:dyDescent="0.25">
      <c r="A176" s="410" t="s">
        <v>236</v>
      </c>
      <c r="B176" s="293"/>
      <c r="C176" s="223" t="s">
        <v>221</v>
      </c>
      <c r="D176" s="246">
        <f>SUM(0.7*0.5)</f>
        <v>0.35</v>
      </c>
      <c r="E176" s="246"/>
      <c r="F176" s="239"/>
      <c r="G176" s="239"/>
      <c r="H176" s="239"/>
      <c r="I176" s="246">
        <f>ROUND(SUM(D176),2)</f>
        <v>0.35</v>
      </c>
      <c r="J176" s="247"/>
      <c r="K176" s="45"/>
    </row>
    <row r="177" spans="1:11" s="173" customFormat="1" ht="18.600000000000001" customHeight="1" x14ac:dyDescent="0.25">
      <c r="A177" s="449" t="s">
        <v>40</v>
      </c>
      <c r="B177" s="449"/>
      <c r="C177" s="449"/>
      <c r="D177" s="449"/>
      <c r="E177" s="449"/>
      <c r="F177" s="449"/>
      <c r="G177" s="449"/>
      <c r="H177" s="449"/>
      <c r="I177" s="186">
        <f>ROUND(SUM(I176:I176),2)</f>
        <v>0.35</v>
      </c>
      <c r="J177" s="258"/>
    </row>
    <row r="178" spans="1:11" s="254" customFormat="1" x14ac:dyDescent="0.25">
      <c r="A178" s="453"/>
      <c r="B178" s="454"/>
      <c r="C178" s="454"/>
      <c r="D178" s="454"/>
      <c r="E178" s="454"/>
      <c r="F178" s="454"/>
      <c r="G178" s="454"/>
      <c r="H178" s="454"/>
      <c r="I178" s="454"/>
      <c r="J178" s="455"/>
    </row>
    <row r="179" spans="1:11" ht="12" customHeight="1" x14ac:dyDescent="0.25">
      <c r="A179" s="450" t="str">
        <f>PLANILHA!D55</f>
        <v>LIMPEZA DA OBRA</v>
      </c>
      <c r="B179" s="450"/>
      <c r="C179" s="450"/>
      <c r="D179" s="450"/>
      <c r="E179" s="450"/>
      <c r="F179" s="450"/>
      <c r="G179" s="450"/>
      <c r="H179" s="450"/>
      <c r="I179" s="450"/>
      <c r="J179" s="450"/>
    </row>
    <row r="180" spans="1:11" s="235" customFormat="1" x14ac:dyDescent="0.25">
      <c r="A180" s="451"/>
      <c r="B180" s="452"/>
      <c r="C180" s="452"/>
      <c r="D180" s="452"/>
      <c r="E180" s="452"/>
      <c r="F180" s="452"/>
      <c r="G180" s="452"/>
      <c r="H180" s="452"/>
      <c r="I180" s="452"/>
      <c r="J180" s="452"/>
    </row>
    <row r="181" spans="1:11" ht="13.5" customHeight="1" x14ac:dyDescent="0.25">
      <c r="A181" s="28" t="s">
        <v>100</v>
      </c>
      <c r="B181" s="67" t="str">
        <f>PLANILHA!A56</f>
        <v>8.1</v>
      </c>
      <c r="C181" s="418"/>
      <c r="D181" s="420" t="str">
        <f>PLANILHA!D56</f>
        <v>LIMPEZA FINAL PARA ENTREGA DA OBRA</v>
      </c>
      <c r="E181" s="421"/>
      <c r="F181" s="421"/>
      <c r="G181" s="421"/>
      <c r="H181" s="421"/>
      <c r="I181" s="421"/>
      <c r="J181" s="422"/>
    </row>
    <row r="182" spans="1:11" ht="13.5" customHeight="1" x14ac:dyDescent="0.25">
      <c r="A182" s="28" t="s">
        <v>32</v>
      </c>
      <c r="B182" s="68" t="str">
        <f>PLANILHA!B56</f>
        <v>ED-50266</v>
      </c>
      <c r="C182" s="419"/>
      <c r="D182" s="423"/>
      <c r="E182" s="424"/>
      <c r="F182" s="424"/>
      <c r="G182" s="424"/>
      <c r="H182" s="424"/>
      <c r="I182" s="424"/>
      <c r="J182" s="425"/>
    </row>
    <row r="183" spans="1:11" ht="12" customHeight="1" x14ac:dyDescent="0.25">
      <c r="A183" s="426"/>
      <c r="B183" s="427"/>
      <c r="C183" s="223"/>
      <c r="D183" s="6" t="s">
        <v>89</v>
      </c>
      <c r="E183" s="6"/>
      <c r="F183" s="6"/>
      <c r="G183" s="6"/>
      <c r="H183" s="6"/>
      <c r="I183" s="7" t="s">
        <v>38</v>
      </c>
      <c r="J183" s="29" t="s">
        <v>39</v>
      </c>
    </row>
    <row r="184" spans="1:11" ht="22.2" customHeight="1" x14ac:dyDescent="0.25">
      <c r="A184" s="361" t="s">
        <v>140</v>
      </c>
      <c r="B184" s="316"/>
      <c r="C184" s="236" t="s">
        <v>222</v>
      </c>
      <c r="D184" s="172">
        <f>SUM(461.11+131.79+8.42)</f>
        <v>601.31999999999994</v>
      </c>
      <c r="E184" s="18"/>
      <c r="F184" s="18"/>
      <c r="G184" s="18"/>
      <c r="H184" s="1"/>
      <c r="I184" s="219">
        <f>ROUND(SUM(D184),2)</f>
        <v>601.32000000000005</v>
      </c>
      <c r="J184" s="239"/>
      <c r="K184" s="45"/>
    </row>
    <row r="185" spans="1:11" ht="12" customHeight="1" x14ac:dyDescent="0.25">
      <c r="A185" s="446" t="s">
        <v>40</v>
      </c>
      <c r="B185" s="447"/>
      <c r="C185" s="447"/>
      <c r="D185" s="447"/>
      <c r="E185" s="447"/>
      <c r="F185" s="447"/>
      <c r="G185" s="447"/>
      <c r="H185" s="448"/>
      <c r="I185" s="19">
        <f>ROUND(SUM(I184:I184),2)</f>
        <v>601.32000000000005</v>
      </c>
      <c r="J185" s="30"/>
    </row>
    <row r="186" spans="1:11" x14ac:dyDescent="0.25">
      <c r="A186" s="58"/>
      <c r="J186" s="59"/>
    </row>
    <row r="187" spans="1:11" x14ac:dyDescent="0.25">
      <c r="A187" s="58"/>
      <c r="J187" s="59"/>
    </row>
    <row r="188" spans="1:11" x14ac:dyDescent="0.25">
      <c r="A188" s="58"/>
      <c r="J188" s="59"/>
    </row>
    <row r="189" spans="1:11" ht="22.8" customHeight="1" x14ac:dyDescent="0.25">
      <c r="A189" s="58"/>
      <c r="J189" s="59"/>
    </row>
    <row r="190" spans="1:11" ht="11.4" customHeight="1" x14ac:dyDescent="0.2">
      <c r="A190" s="787" t="str">
        <f>PLANILHA!B65</f>
        <v xml:space="preserve">                          RT. ALDIR MOREIRA FILHO - CREA MG 199.432/D</v>
      </c>
      <c r="B190" s="788"/>
      <c r="C190" s="788"/>
      <c r="D190" s="134"/>
      <c r="G190" s="770" t="str">
        <f>PLANILHA!L65</f>
        <v>PREFEITURA MUNICIPAL DE BRASÍLIA DE MINAS - CNPJ 18.017.442/0001-06</v>
      </c>
      <c r="H190" s="770"/>
      <c r="I190" s="770"/>
      <c r="J190" s="790"/>
    </row>
    <row r="191" spans="1:11" s="49" customFormat="1" ht="12.75" customHeight="1" x14ac:dyDescent="0.2">
      <c r="A191" s="785"/>
      <c r="B191" s="786"/>
      <c r="C191" s="786"/>
      <c r="D191" s="134"/>
      <c r="E191" s="50"/>
      <c r="F191" s="50"/>
      <c r="G191" s="134"/>
      <c r="H191" s="134"/>
      <c r="I191" s="134"/>
      <c r="J191" s="789"/>
    </row>
    <row r="192" spans="1:11" s="49" customFormat="1" x14ac:dyDescent="0.2">
      <c r="A192" s="785"/>
      <c r="B192" s="786"/>
      <c r="C192" s="786"/>
      <c r="D192" s="134"/>
      <c r="E192" s="50"/>
      <c r="F192" s="50"/>
      <c r="G192" s="134"/>
      <c r="H192" s="134"/>
      <c r="I192" s="134"/>
      <c r="J192" s="789"/>
    </row>
    <row r="193" spans="1:10" s="49" customFormat="1" x14ac:dyDescent="0.2">
      <c r="A193" s="785"/>
      <c r="B193" s="786"/>
      <c r="C193" s="786"/>
      <c r="D193" s="134"/>
      <c r="E193" s="50"/>
      <c r="F193" s="50"/>
      <c r="G193" s="134"/>
      <c r="H193" s="134"/>
      <c r="I193" s="134"/>
      <c r="J193" s="789"/>
    </row>
    <row r="194" spans="1:10" s="49" customFormat="1" x14ac:dyDescent="0.25">
      <c r="A194" s="60"/>
      <c r="B194" s="71"/>
      <c r="J194" s="61"/>
    </row>
    <row r="195" spans="1:10" x14ac:dyDescent="0.25">
      <c r="A195" s="58"/>
      <c r="J195" s="59"/>
    </row>
    <row r="196" spans="1:10" x14ac:dyDescent="0.25">
      <c r="A196" s="58"/>
      <c r="J196" s="59"/>
    </row>
    <row r="197" spans="1:10" ht="10.8" customHeight="1" x14ac:dyDescent="0.2">
      <c r="A197" s="58"/>
      <c r="D197" s="49"/>
      <c r="E197" s="253"/>
      <c r="F197" s="50"/>
      <c r="J197" s="59"/>
    </row>
    <row r="198" spans="1:10" ht="12" thickBot="1" x14ac:dyDescent="0.3">
      <c r="A198" s="62"/>
      <c r="D198" s="49"/>
      <c r="E198" s="50"/>
      <c r="F198" s="50"/>
      <c r="J198" s="59"/>
    </row>
    <row r="199" spans="1:10" x14ac:dyDescent="0.25">
      <c r="A199" s="58"/>
      <c r="D199" s="49"/>
      <c r="E199" s="50"/>
      <c r="F199" s="50"/>
      <c r="J199" s="59"/>
    </row>
    <row r="200" spans="1:10" x14ac:dyDescent="0.25">
      <c r="A200" s="58"/>
      <c r="D200" s="49"/>
      <c r="E200" s="49"/>
      <c r="F200" s="49"/>
      <c r="J200" s="59"/>
    </row>
    <row r="201" spans="1:10" x14ac:dyDescent="0.25">
      <c r="A201" s="58"/>
      <c r="J201" s="59"/>
    </row>
    <row r="202" spans="1:10" s="63" customFormat="1" ht="12" thickBot="1" x14ac:dyDescent="0.3">
      <c r="A202" s="62"/>
      <c r="B202" s="72"/>
      <c r="J202" s="64"/>
    </row>
  </sheetData>
  <mergeCells count="190">
    <mergeCell ref="A190:C190"/>
    <mergeCell ref="G190:J190"/>
    <mergeCell ref="A172:XFD172"/>
    <mergeCell ref="A153:J153"/>
    <mergeCell ref="A58:H58"/>
    <mergeCell ref="A59:J59"/>
    <mergeCell ref="C154:C155"/>
    <mergeCell ref="D154:J155"/>
    <mergeCell ref="A156:B156"/>
    <mergeCell ref="A157:B157"/>
    <mergeCell ref="A158:H158"/>
    <mergeCell ref="A159:J159"/>
    <mergeCell ref="C160:C161"/>
    <mergeCell ref="D160:J161"/>
    <mergeCell ref="A162:B162"/>
    <mergeCell ref="A121:B121"/>
    <mergeCell ref="A122:H122"/>
    <mergeCell ref="C118:C119"/>
    <mergeCell ref="D118:J119"/>
    <mergeCell ref="A120:B120"/>
    <mergeCell ref="A166:J166"/>
    <mergeCell ref="A108:J108"/>
    <mergeCell ref="A107:H107"/>
    <mergeCell ref="C111:C112"/>
    <mergeCell ref="C167:C168"/>
    <mergeCell ref="D167:J168"/>
    <mergeCell ref="C173:C174"/>
    <mergeCell ref="D173:J174"/>
    <mergeCell ref="A112:B112"/>
    <mergeCell ref="A53:J53"/>
    <mergeCell ref="C148:C149"/>
    <mergeCell ref="D148:J149"/>
    <mergeCell ref="A115:J115"/>
    <mergeCell ref="A116:J116"/>
    <mergeCell ref="A117:XFD117"/>
    <mergeCell ref="A128:H128"/>
    <mergeCell ref="A129:J129"/>
    <mergeCell ref="C130:C131"/>
    <mergeCell ref="D130:J131"/>
    <mergeCell ref="A132:B132"/>
    <mergeCell ref="A163:B163"/>
    <mergeCell ref="A164:B164"/>
    <mergeCell ref="A127:B127"/>
    <mergeCell ref="A133:B133"/>
    <mergeCell ref="A123:J123"/>
    <mergeCell ref="C124:C125"/>
    <mergeCell ref="D124:J125"/>
    <mergeCell ref="A126:B126"/>
    <mergeCell ref="A169:B169"/>
    <mergeCell ref="A170:B170"/>
    <mergeCell ref="A171:H171"/>
    <mergeCell ref="A113:H113"/>
    <mergeCell ref="A114:J114"/>
    <mergeCell ref="C109:C110"/>
    <mergeCell ref="D109:J110"/>
    <mergeCell ref="A111:B111"/>
    <mergeCell ref="D97:J98"/>
    <mergeCell ref="A88:XFD88"/>
    <mergeCell ref="A82:XFD82"/>
    <mergeCell ref="A85:B85"/>
    <mergeCell ref="A86:B86"/>
    <mergeCell ref="C83:C84"/>
    <mergeCell ref="D83:J84"/>
    <mergeCell ref="A76:XFD76"/>
    <mergeCell ref="A80:B80"/>
    <mergeCell ref="A81:H81"/>
    <mergeCell ref="A87:H87"/>
    <mergeCell ref="C77:C78"/>
    <mergeCell ref="D77:J78"/>
    <mergeCell ref="A79:B79"/>
    <mergeCell ref="D136:J137"/>
    <mergeCell ref="A138:B138"/>
    <mergeCell ref="A134:H134"/>
    <mergeCell ref="A135:J135"/>
    <mergeCell ref="A89:J89"/>
    <mergeCell ref="A90:J90"/>
    <mergeCell ref="C136:C137"/>
    <mergeCell ref="A101:H101"/>
    <mergeCell ref="A99:B99"/>
    <mergeCell ref="A100:B100"/>
    <mergeCell ref="C91:C92"/>
    <mergeCell ref="D91:J92"/>
    <mergeCell ref="A93:B93"/>
    <mergeCell ref="A94:B94"/>
    <mergeCell ref="A96:XFD96"/>
    <mergeCell ref="A95:H95"/>
    <mergeCell ref="A102:J102"/>
    <mergeCell ref="C103:C104"/>
    <mergeCell ref="D103:J104"/>
    <mergeCell ref="A105:B105"/>
    <mergeCell ref="A106:B106"/>
    <mergeCell ref="C105:C106"/>
    <mergeCell ref="C97:C98"/>
    <mergeCell ref="A185:H185"/>
    <mergeCell ref="A141:XFD141"/>
    <mergeCell ref="C181:C182"/>
    <mergeCell ref="D181:J182"/>
    <mergeCell ref="A183:B183"/>
    <mergeCell ref="A139:B139"/>
    <mergeCell ref="A184:B184"/>
    <mergeCell ref="A140:H140"/>
    <mergeCell ref="A179:J179"/>
    <mergeCell ref="A180:J180"/>
    <mergeCell ref="A150:B150"/>
    <mergeCell ref="A178:J178"/>
    <mergeCell ref="C142:C143"/>
    <mergeCell ref="D142:J143"/>
    <mergeCell ref="A144:B144"/>
    <mergeCell ref="A145:B145"/>
    <mergeCell ref="A146:H146"/>
    <mergeCell ref="A147:J147"/>
    <mergeCell ref="A151:B151"/>
    <mergeCell ref="A152:H152"/>
    <mergeCell ref="A175:B175"/>
    <mergeCell ref="A176:B176"/>
    <mergeCell ref="A177:H177"/>
    <mergeCell ref="A165:H165"/>
    <mergeCell ref="A74:J74"/>
    <mergeCell ref="A66:H66"/>
    <mergeCell ref="C68:C69"/>
    <mergeCell ref="D68:J69"/>
    <mergeCell ref="A67:XFD67"/>
    <mergeCell ref="A70:B70"/>
    <mergeCell ref="A73:H73"/>
    <mergeCell ref="A75:J75"/>
    <mergeCell ref="A46:J46"/>
    <mergeCell ref="A72:B72"/>
    <mergeCell ref="C62:C63"/>
    <mergeCell ref="D62:J63"/>
    <mergeCell ref="A64:B64"/>
    <mergeCell ref="A65:B65"/>
    <mergeCell ref="C54:C55"/>
    <mergeCell ref="D54:J55"/>
    <mergeCell ref="A56:B56"/>
    <mergeCell ref="A57:B57"/>
    <mergeCell ref="A61:J61"/>
    <mergeCell ref="A60:J60"/>
    <mergeCell ref="A50:B50"/>
    <mergeCell ref="C48:C49"/>
    <mergeCell ref="D48:J49"/>
    <mergeCell ref="A52:H52"/>
    <mergeCell ref="A36:B36"/>
    <mergeCell ref="A33:J33"/>
    <mergeCell ref="A37:B37"/>
    <mergeCell ref="A18:B18"/>
    <mergeCell ref="A32:H32"/>
    <mergeCell ref="A19:B19"/>
    <mergeCell ref="A47:XFD47"/>
    <mergeCell ref="A51:B51"/>
    <mergeCell ref="A39:XFD39"/>
    <mergeCell ref="A44:H44"/>
    <mergeCell ref="C40:C41"/>
    <mergeCell ref="D40:J41"/>
    <mergeCell ref="A42:B42"/>
    <mergeCell ref="A43:B43"/>
    <mergeCell ref="J43:J44"/>
    <mergeCell ref="A45:J45"/>
    <mergeCell ref="C34:C35"/>
    <mergeCell ref="D22:J23"/>
    <mergeCell ref="A20:H20"/>
    <mergeCell ref="A21:J21"/>
    <mergeCell ref="D34:J35"/>
    <mergeCell ref="A12:H12"/>
    <mergeCell ref="A13:J13"/>
    <mergeCell ref="C16:C17"/>
    <mergeCell ref="D16:J17"/>
    <mergeCell ref="A71:B71"/>
    <mergeCell ref="A1:J1"/>
    <mergeCell ref="B2:J2"/>
    <mergeCell ref="B3:J3"/>
    <mergeCell ref="A4:J4"/>
    <mergeCell ref="A5:J5"/>
    <mergeCell ref="A7:J7"/>
    <mergeCell ref="C8:C9"/>
    <mergeCell ref="D8:J9"/>
    <mergeCell ref="A10:B10"/>
    <mergeCell ref="A6:J6"/>
    <mergeCell ref="A11:B11"/>
    <mergeCell ref="A24:B24"/>
    <mergeCell ref="A14:J14"/>
    <mergeCell ref="A15:J15"/>
    <mergeCell ref="C22:C23"/>
    <mergeCell ref="A25:B25"/>
    <mergeCell ref="A26:H26"/>
    <mergeCell ref="A38:H38"/>
    <mergeCell ref="A30:B30"/>
    <mergeCell ref="A31:B31"/>
    <mergeCell ref="A27:J27"/>
    <mergeCell ref="C28:C29"/>
    <mergeCell ref="D28:J29"/>
  </mergeCells>
  <pageMargins left="0.511811024" right="0.511811024" top="0.78740157499999996" bottom="0.78740157499999996" header="0.31496062000000002" footer="0.31496062000000002"/>
  <pageSetup paperSize="9" scale="72" fitToHeight="0" orientation="landscape" r:id="rId1"/>
  <rowBreaks count="3" manualBreakCount="3">
    <brk id="45" max="9" man="1"/>
    <brk id="88" max="9" man="1"/>
    <brk id="14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W33"/>
  <sheetViews>
    <sheetView view="pageBreakPreview" zoomScale="55" zoomScaleNormal="85" zoomScaleSheetLayoutView="55" workbookViewId="0">
      <selection activeCell="P25" sqref="P25"/>
    </sheetView>
  </sheetViews>
  <sheetFormatPr defaultColWidth="9.33203125" defaultRowHeight="15" x14ac:dyDescent="0.25"/>
  <cols>
    <col min="1" max="1" width="5.33203125" style="144" customWidth="1"/>
    <col min="2" max="2" width="7.33203125" style="144" customWidth="1"/>
    <col min="3" max="3" width="10.109375" style="144" customWidth="1"/>
    <col min="4" max="4" width="5.109375" style="144" customWidth="1"/>
    <col min="5" max="5" width="14.109375" style="144" customWidth="1"/>
    <col min="6" max="6" width="31.33203125" style="144" customWidth="1"/>
    <col min="7" max="7" width="10" style="144" customWidth="1"/>
    <col min="8" max="8" width="27.33203125" style="144" customWidth="1"/>
    <col min="9" max="9" width="6.6640625" style="144" customWidth="1"/>
    <col min="10" max="10" width="13.109375" style="144" customWidth="1"/>
    <col min="11" max="11" width="11.44140625" style="144" customWidth="1"/>
    <col min="12" max="12" width="12.6640625" style="144" customWidth="1"/>
    <col min="13" max="13" width="3.33203125" style="144" customWidth="1"/>
    <col min="14" max="14" width="3.77734375" style="144" customWidth="1"/>
    <col min="15" max="15" width="10.6640625" style="144" customWidth="1"/>
    <col min="16" max="16" width="21.6640625" style="144" customWidth="1"/>
    <col min="17" max="17" width="19.109375" style="144" customWidth="1"/>
    <col min="18" max="18" width="7.77734375" style="144" customWidth="1"/>
    <col min="19" max="19" width="9.6640625" style="144" customWidth="1"/>
    <col min="20" max="20" width="11.33203125" style="144" customWidth="1"/>
    <col min="21" max="21" width="5.6640625" style="144" customWidth="1"/>
    <col min="22" max="22" width="17.6640625" style="144" customWidth="1"/>
    <col min="23" max="23" width="8.109375" style="144" customWidth="1"/>
    <col min="24" max="24" width="3.33203125" style="144" customWidth="1"/>
    <col min="25" max="25" width="6.6640625" style="144" customWidth="1"/>
    <col min="26" max="26" width="23" style="144" customWidth="1"/>
    <col min="27" max="27" width="14.44140625" style="144" customWidth="1"/>
    <col min="28" max="28" width="8.44140625" style="144" customWidth="1"/>
    <col min="29" max="29" width="13.6640625" style="144" customWidth="1"/>
    <col min="30" max="30" width="6.6640625" style="144" customWidth="1"/>
    <col min="31" max="31" width="35.109375" style="144" customWidth="1"/>
    <col min="32" max="32" width="16.33203125" style="144" customWidth="1"/>
    <col min="33" max="33" width="9.33203125" style="144"/>
    <col min="34" max="34" width="6.6640625" style="144" customWidth="1"/>
    <col min="35" max="35" width="6" style="144" customWidth="1"/>
    <col min="36" max="36" width="41.44140625" style="144" customWidth="1"/>
    <col min="37" max="37" width="15.6640625" style="144" customWidth="1"/>
    <col min="38" max="38" width="9.33203125" style="144"/>
    <col min="39" max="39" width="18.77734375" style="144" customWidth="1"/>
    <col min="40" max="40" width="21.33203125" style="144" customWidth="1"/>
    <col min="41" max="41" width="29.109375" style="144" customWidth="1"/>
    <col min="42" max="42" width="14.33203125" style="144" customWidth="1"/>
    <col min="43" max="43" width="15.44140625" style="144" customWidth="1"/>
    <col min="44" max="44" width="11.6640625" style="144" customWidth="1"/>
    <col min="45" max="45" width="12" style="144" bestFit="1" customWidth="1"/>
    <col min="46" max="46" width="17.6640625" style="144" customWidth="1"/>
    <col min="47" max="47" width="13.33203125" style="144" customWidth="1"/>
    <col min="48" max="48" width="18.6640625" style="144" customWidth="1"/>
    <col min="49" max="16384" width="9.33203125" style="144"/>
  </cols>
  <sheetData>
    <row r="1" spans="1:48" ht="12.75" customHeight="1" x14ac:dyDescent="0.25">
      <c r="A1" s="593" t="s">
        <v>41</v>
      </c>
      <c r="B1" s="594"/>
      <c r="C1" s="594"/>
      <c r="D1" s="594"/>
      <c r="E1" s="594"/>
      <c r="F1" s="594"/>
      <c r="G1" s="594"/>
      <c r="H1" s="594"/>
      <c r="I1" s="594"/>
      <c r="J1" s="594"/>
      <c r="K1" s="594"/>
      <c r="L1" s="594"/>
      <c r="M1" s="594"/>
      <c r="N1" s="594"/>
      <c r="O1" s="594"/>
      <c r="P1" s="594"/>
      <c r="Q1" s="594"/>
      <c r="R1" s="594"/>
      <c r="S1" s="594"/>
      <c r="T1" s="594"/>
      <c r="U1" s="594"/>
      <c r="V1" s="594"/>
      <c r="W1" s="594"/>
      <c r="X1" s="594"/>
      <c r="Y1" s="594"/>
      <c r="Z1" s="594"/>
      <c r="AA1" s="567" t="s">
        <v>231</v>
      </c>
      <c r="AB1" s="570" t="s">
        <v>41</v>
      </c>
      <c r="AC1" s="571"/>
      <c r="AD1" s="571"/>
      <c r="AE1" s="571"/>
      <c r="AF1" s="571"/>
      <c r="AG1" s="571"/>
      <c r="AH1" s="571"/>
      <c r="AI1" s="571"/>
      <c r="AJ1" s="571"/>
      <c r="AK1" s="571"/>
      <c r="AL1" s="571"/>
      <c r="AM1" s="571"/>
      <c r="AN1" s="571"/>
      <c r="AO1" s="572"/>
      <c r="AP1" s="567" t="s">
        <v>98</v>
      </c>
      <c r="AQ1" s="83"/>
      <c r="AR1" s="83"/>
      <c r="AS1" s="83"/>
      <c r="AT1" s="76"/>
      <c r="AU1" s="83"/>
    </row>
    <row r="2" spans="1:48" ht="15.75" customHeight="1" x14ac:dyDescent="0.25">
      <c r="A2" s="595"/>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68"/>
      <c r="AB2" s="573"/>
      <c r="AC2" s="574"/>
      <c r="AD2" s="574"/>
      <c r="AE2" s="574"/>
      <c r="AF2" s="574"/>
      <c r="AG2" s="574"/>
      <c r="AH2" s="574"/>
      <c r="AI2" s="574"/>
      <c r="AJ2" s="574"/>
      <c r="AK2" s="574"/>
      <c r="AL2" s="574"/>
      <c r="AM2" s="574"/>
      <c r="AN2" s="574"/>
      <c r="AO2" s="575"/>
      <c r="AP2" s="568"/>
      <c r="AQ2" s="565"/>
      <c r="AR2" s="565"/>
      <c r="AS2" s="565"/>
      <c r="AT2" s="106"/>
      <c r="AU2" s="79"/>
    </row>
    <row r="3" spans="1:48" ht="12" customHeight="1" x14ac:dyDescent="0.25">
      <c r="A3" s="595"/>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69"/>
      <c r="AB3" s="576"/>
      <c r="AC3" s="577"/>
      <c r="AD3" s="577"/>
      <c r="AE3" s="577"/>
      <c r="AF3" s="577"/>
      <c r="AG3" s="577"/>
      <c r="AH3" s="577"/>
      <c r="AI3" s="577"/>
      <c r="AJ3" s="577"/>
      <c r="AK3" s="577"/>
      <c r="AL3" s="577"/>
      <c r="AM3" s="577"/>
      <c r="AN3" s="577"/>
      <c r="AO3" s="578"/>
      <c r="AP3" s="569"/>
      <c r="AQ3" s="565"/>
      <c r="AR3" s="565"/>
      <c r="AS3" s="565"/>
      <c r="AT3" s="106"/>
      <c r="AU3" s="80"/>
    </row>
    <row r="4" spans="1:48" ht="15.75" customHeight="1" x14ac:dyDescent="0.25">
      <c r="A4" s="516" t="s">
        <v>42</v>
      </c>
      <c r="B4" s="517"/>
      <c r="C4" s="517"/>
      <c r="D4" s="517"/>
      <c r="E4" s="518"/>
      <c r="F4" s="492" t="s">
        <v>43</v>
      </c>
      <c r="G4" s="493"/>
      <c r="H4" s="493"/>
      <c r="I4" s="493"/>
      <c r="J4" s="494"/>
      <c r="K4" s="498" t="s">
        <v>44</v>
      </c>
      <c r="L4" s="499"/>
      <c r="M4" s="499"/>
      <c r="N4" s="500"/>
      <c r="O4" s="504" t="s">
        <v>45</v>
      </c>
      <c r="P4" s="493"/>
      <c r="Q4" s="493"/>
      <c r="R4" s="493"/>
      <c r="S4" s="493"/>
      <c r="T4" s="493"/>
      <c r="U4" s="493"/>
      <c r="V4" s="493"/>
      <c r="W4" s="493"/>
      <c r="X4" s="493"/>
      <c r="Y4" s="493"/>
      <c r="Z4" s="493"/>
      <c r="AA4" s="505"/>
      <c r="AB4" s="135"/>
      <c r="AC4" s="136"/>
      <c r="AD4" s="136"/>
      <c r="AE4" s="136"/>
      <c r="AF4" s="136"/>
      <c r="AG4" s="136"/>
      <c r="AH4" s="136"/>
      <c r="AI4" s="136"/>
      <c r="AJ4" s="136"/>
      <c r="AK4" s="143"/>
      <c r="AL4" s="143"/>
      <c r="AM4" s="143"/>
      <c r="AN4" s="136"/>
      <c r="AO4" s="136"/>
      <c r="AP4" s="157"/>
      <c r="AQ4" s="565"/>
      <c r="AR4" s="565"/>
      <c r="AS4" s="565"/>
      <c r="AT4" s="106"/>
      <c r="AU4" s="80"/>
    </row>
    <row r="5" spans="1:48" ht="23.25" customHeight="1" x14ac:dyDescent="0.25">
      <c r="A5" s="81" t="s">
        <v>46</v>
      </c>
      <c r="B5" s="523" t="s">
        <v>47</v>
      </c>
      <c r="C5" s="503"/>
      <c r="D5" s="82"/>
      <c r="E5" s="107" t="s">
        <v>48</v>
      </c>
      <c r="F5" s="495">
        <f>PLANILHA!A7</f>
        <v>0</v>
      </c>
      <c r="G5" s="496"/>
      <c r="H5" s="496"/>
      <c r="I5" s="496"/>
      <c r="J5" s="497"/>
      <c r="K5" s="506"/>
      <c r="L5" s="496"/>
      <c r="M5" s="496"/>
      <c r="N5" s="497"/>
      <c r="O5" s="506" t="str">
        <f>PLANILHA!A6</f>
        <v>CONSTRUÇÃO DE OBRA DE ACESSIBILIDADE DAS VIAS DO ENTORNO DO TERMINAL RODOVIÁRIO DE BRASÍLIA DE MINAS/MG</v>
      </c>
      <c r="P5" s="496"/>
      <c r="Q5" s="496"/>
      <c r="R5" s="496"/>
      <c r="S5" s="496"/>
      <c r="T5" s="496"/>
      <c r="U5" s="496"/>
      <c r="V5" s="496"/>
      <c r="W5" s="496"/>
      <c r="X5" s="496"/>
      <c r="Y5" s="496"/>
      <c r="Z5" s="496"/>
      <c r="AA5" s="524"/>
      <c r="AB5" s="582" t="s">
        <v>6</v>
      </c>
      <c r="AC5" s="583"/>
      <c r="AD5" s="583"/>
      <c r="AE5" s="583"/>
      <c r="AF5" s="584"/>
      <c r="AG5" s="117" t="s">
        <v>97</v>
      </c>
      <c r="AH5" s="118"/>
      <c r="AI5" s="118"/>
      <c r="AJ5" s="118"/>
      <c r="AL5" s="137"/>
      <c r="AM5" s="137"/>
      <c r="AN5" s="137"/>
      <c r="AO5" s="137"/>
      <c r="AP5" s="116"/>
      <c r="AQ5" s="565"/>
      <c r="AR5" s="565"/>
      <c r="AS5" s="565"/>
      <c r="AT5" s="106"/>
      <c r="AU5" s="80"/>
    </row>
    <row r="6" spans="1:48" ht="15.75" customHeight="1" x14ac:dyDescent="0.25">
      <c r="A6" s="520"/>
      <c r="B6" s="521"/>
      <c r="C6" s="521"/>
      <c r="D6" s="521"/>
      <c r="E6" s="521"/>
      <c r="F6" s="521"/>
      <c r="G6" s="521"/>
      <c r="H6" s="521"/>
      <c r="I6" s="521"/>
      <c r="J6" s="521"/>
      <c r="K6" s="521"/>
      <c r="L6" s="521"/>
      <c r="M6" s="521"/>
      <c r="N6" s="521"/>
      <c r="O6" s="521"/>
      <c r="P6" s="521"/>
      <c r="Q6" s="521"/>
      <c r="R6" s="521"/>
      <c r="S6" s="521"/>
      <c r="T6" s="521"/>
      <c r="U6" s="521"/>
      <c r="V6" s="521"/>
      <c r="W6" s="521"/>
      <c r="X6" s="521"/>
      <c r="Y6" s="521"/>
      <c r="Z6" s="521"/>
      <c r="AA6" s="522"/>
      <c r="AB6" s="579">
        <f>F5</f>
        <v>0</v>
      </c>
      <c r="AC6" s="580"/>
      <c r="AD6" s="580"/>
      <c r="AE6" s="580"/>
      <c r="AF6" s="581"/>
      <c r="AG6" s="120" t="str">
        <f>O5</f>
        <v>CONSTRUÇÃO DE OBRA DE ACESSIBILIDADE DAS VIAS DO ENTORNO DO TERMINAL RODOVIÁRIO DE BRASÍLIA DE MINAS/MG</v>
      </c>
      <c r="AH6" s="121"/>
      <c r="AI6" s="121"/>
      <c r="AJ6" s="121"/>
      <c r="AK6" s="121"/>
      <c r="AL6" s="125"/>
      <c r="AM6" s="125"/>
      <c r="AN6" s="125"/>
      <c r="AO6" s="125"/>
      <c r="AP6" s="158"/>
      <c r="AQ6" s="565"/>
      <c r="AR6" s="565"/>
      <c r="AS6" s="565"/>
      <c r="AT6" s="106"/>
      <c r="AU6" s="80"/>
    </row>
    <row r="7" spans="1:48" ht="20.25" customHeight="1" x14ac:dyDescent="0.25">
      <c r="A7" s="517" t="s">
        <v>49</v>
      </c>
      <c r="B7" s="517"/>
      <c r="C7" s="517"/>
      <c r="D7" s="517"/>
      <c r="E7" s="517"/>
      <c r="F7" s="517"/>
      <c r="G7" s="518"/>
      <c r="H7" s="612" t="s">
        <v>50</v>
      </c>
      <c r="I7" s="517"/>
      <c r="J7" s="517"/>
      <c r="K7" s="517"/>
      <c r="L7" s="517"/>
      <c r="M7" s="517"/>
      <c r="N7" s="517"/>
      <c r="O7" s="517"/>
      <c r="P7" s="517"/>
      <c r="Q7" s="517"/>
      <c r="R7" s="517"/>
      <c r="S7" s="518"/>
      <c r="T7" s="493" t="s">
        <v>51</v>
      </c>
      <c r="U7" s="493"/>
      <c r="V7" s="493"/>
      <c r="W7" s="494"/>
      <c r="X7" s="504" t="s">
        <v>52</v>
      </c>
      <c r="Y7" s="493"/>
      <c r="Z7" s="493"/>
      <c r="AA7" s="554"/>
      <c r="AB7" s="516" t="s">
        <v>42</v>
      </c>
      <c r="AC7" s="517"/>
      <c r="AD7" s="517"/>
      <c r="AE7" s="517"/>
      <c r="AF7" s="518"/>
      <c r="AG7" s="590" t="s">
        <v>50</v>
      </c>
      <c r="AH7" s="591"/>
      <c r="AI7" s="591"/>
      <c r="AJ7" s="591"/>
      <c r="AK7" s="592"/>
      <c r="AL7" s="137"/>
      <c r="AM7" s="137"/>
      <c r="AN7" s="137"/>
      <c r="AO7" s="137"/>
      <c r="AP7" s="146"/>
      <c r="AQ7" s="565"/>
      <c r="AR7" s="565"/>
      <c r="AS7" s="565"/>
      <c r="AT7" s="106"/>
      <c r="AU7" s="80"/>
    </row>
    <row r="8" spans="1:48" ht="15.75" customHeight="1" x14ac:dyDescent="0.25">
      <c r="A8" s="502"/>
      <c r="B8" s="502"/>
      <c r="C8" s="502"/>
      <c r="D8" s="502"/>
      <c r="E8" s="502"/>
      <c r="F8" s="502"/>
      <c r="G8" s="519"/>
      <c r="H8" s="613" t="s">
        <v>93</v>
      </c>
      <c r="I8" s="614"/>
      <c r="J8" s="614"/>
      <c r="K8" s="614"/>
      <c r="L8" s="614"/>
      <c r="M8" s="614"/>
      <c r="N8" s="614"/>
      <c r="O8" s="614"/>
      <c r="P8" s="614"/>
      <c r="Q8" s="614"/>
      <c r="R8" s="614"/>
      <c r="S8" s="615"/>
      <c r="T8" s="617"/>
      <c r="U8" s="617"/>
      <c r="V8" s="617"/>
      <c r="W8" s="618"/>
      <c r="X8" s="506"/>
      <c r="Y8" s="496"/>
      <c r="Z8" s="496"/>
      <c r="AA8" s="524"/>
      <c r="AB8" s="81" t="s">
        <v>46</v>
      </c>
      <c r="AC8" s="115" t="s">
        <v>47</v>
      </c>
      <c r="AD8" s="82"/>
      <c r="AE8" s="523" t="s">
        <v>48</v>
      </c>
      <c r="AF8" s="503"/>
      <c r="AG8" s="588" t="str">
        <f>H8</f>
        <v>PREFEITURA MUNICIPAL BRASILIA DE MINAS/MG</v>
      </c>
      <c r="AH8" s="589"/>
      <c r="AI8" s="589"/>
      <c r="AJ8" s="589"/>
      <c r="AK8" s="589"/>
      <c r="AL8" s="125"/>
      <c r="AM8" s="125"/>
      <c r="AN8" s="121"/>
      <c r="AO8" s="125"/>
      <c r="AP8" s="123"/>
      <c r="AQ8" s="565"/>
      <c r="AR8" s="565"/>
      <c r="AS8" s="565"/>
      <c r="AT8" s="106"/>
      <c r="AU8" s="80"/>
    </row>
    <row r="9" spans="1:48" ht="19.5" customHeight="1" x14ac:dyDescent="0.25">
      <c r="A9" s="550" t="s">
        <v>53</v>
      </c>
      <c r="B9" s="551"/>
      <c r="C9" s="551"/>
      <c r="D9" s="551"/>
      <c r="E9" s="551"/>
      <c r="F9" s="551"/>
      <c r="G9" s="551"/>
      <c r="H9" s="551"/>
      <c r="I9" s="551"/>
      <c r="J9" s="551"/>
      <c r="K9" s="551"/>
      <c r="L9" s="551"/>
      <c r="M9" s="551"/>
      <c r="N9" s="551"/>
      <c r="O9" s="551"/>
      <c r="P9" s="551"/>
      <c r="Q9" s="551"/>
      <c r="R9" s="551"/>
      <c r="S9" s="551"/>
      <c r="T9" s="551"/>
      <c r="U9" s="551"/>
      <c r="V9" s="551"/>
      <c r="W9" s="551"/>
      <c r="X9" s="551"/>
      <c r="Y9" s="551"/>
      <c r="Z9" s="551"/>
      <c r="AA9" s="552"/>
      <c r="AB9" s="585" t="s">
        <v>53</v>
      </c>
      <c r="AC9" s="586"/>
      <c r="AD9" s="586"/>
      <c r="AE9" s="586"/>
      <c r="AF9" s="587"/>
      <c r="AG9" s="122" t="s">
        <v>49</v>
      </c>
      <c r="AH9" s="137"/>
      <c r="AI9" s="137"/>
      <c r="AJ9" s="137"/>
      <c r="AK9" s="137"/>
      <c r="AL9" s="137"/>
      <c r="AM9" s="137"/>
      <c r="AN9" s="137"/>
      <c r="AO9" s="137"/>
      <c r="AP9" s="116"/>
      <c r="AQ9" s="83"/>
      <c r="AR9" s="83"/>
      <c r="AS9" s="83"/>
      <c r="AT9" s="83"/>
      <c r="AU9" s="83"/>
    </row>
    <row r="10" spans="1:48" ht="15" customHeight="1" x14ac:dyDescent="0.25">
      <c r="A10" s="549" t="s">
        <v>99</v>
      </c>
      <c r="B10" s="496"/>
      <c r="C10" s="496"/>
      <c r="D10" s="496"/>
      <c r="E10" s="496"/>
      <c r="F10" s="496"/>
      <c r="G10" s="496"/>
      <c r="H10" s="496"/>
      <c r="I10" s="496"/>
      <c r="J10" s="496"/>
      <c r="K10" s="496"/>
      <c r="L10" s="496"/>
      <c r="M10" s="496"/>
      <c r="N10" s="496"/>
      <c r="O10" s="496"/>
      <c r="P10" s="496"/>
      <c r="Q10" s="496"/>
      <c r="R10" s="496"/>
      <c r="S10" s="496"/>
      <c r="T10" s="496"/>
      <c r="U10" s="496"/>
      <c r="V10" s="496"/>
      <c r="W10" s="496"/>
      <c r="X10" s="496"/>
      <c r="Y10" s="496"/>
      <c r="Z10" s="496"/>
      <c r="AA10" s="524"/>
      <c r="AB10" s="501" t="str">
        <f>A10</f>
        <v>BRASILIA DE MINAS/MG</v>
      </c>
      <c r="AC10" s="502"/>
      <c r="AD10" s="502"/>
      <c r="AE10" s="502"/>
      <c r="AF10" s="503"/>
      <c r="AG10" s="124"/>
      <c r="AH10" s="125"/>
      <c r="AI10" s="125"/>
      <c r="AJ10" s="125"/>
      <c r="AK10" s="125"/>
      <c r="AL10" s="125"/>
      <c r="AM10" s="125"/>
      <c r="AO10" s="125"/>
      <c r="AP10" s="158"/>
      <c r="AQ10" s="565"/>
      <c r="AR10" s="565"/>
      <c r="AS10" s="565"/>
      <c r="AT10" s="106"/>
      <c r="AU10" s="150"/>
    </row>
    <row r="11" spans="1:48" ht="20.25" customHeight="1" x14ac:dyDescent="0.25">
      <c r="A11" s="553" t="s">
        <v>54</v>
      </c>
      <c r="B11" s="493"/>
      <c r="C11" s="493"/>
      <c r="D11" s="493"/>
      <c r="E11" s="493"/>
      <c r="F11" s="493"/>
      <c r="G11" s="493"/>
      <c r="H11" s="493"/>
      <c r="I11" s="493"/>
      <c r="J11" s="493"/>
      <c r="K11" s="493"/>
      <c r="L11" s="493"/>
      <c r="M11" s="493"/>
      <c r="N11" s="493"/>
      <c r="O11" s="493"/>
      <c r="P11" s="493"/>
      <c r="Q11" s="493"/>
      <c r="R11" s="493"/>
      <c r="S11" s="493"/>
      <c r="T11" s="493"/>
      <c r="U11" s="493"/>
      <c r="V11" s="493"/>
      <c r="W11" s="493"/>
      <c r="X11" s="493"/>
      <c r="Y11" s="493"/>
      <c r="Z11" s="493"/>
      <c r="AA11" s="554"/>
      <c r="AB11" s="147"/>
      <c r="AC11" s="77"/>
      <c r="AD11" s="77"/>
      <c r="AL11" s="137"/>
      <c r="AM11" s="137"/>
      <c r="AN11" s="119"/>
      <c r="AO11" s="137"/>
      <c r="AP11" s="116"/>
      <c r="AQ11" s="565"/>
      <c r="AR11" s="565"/>
      <c r="AS11" s="565"/>
      <c r="AT11" s="106"/>
      <c r="AU11" s="85"/>
    </row>
    <row r="12" spans="1:48" ht="21" customHeight="1" thickBot="1" x14ac:dyDescent="0.3">
      <c r="A12" s="527" t="str">
        <f>PLANILHA!A6</f>
        <v>CONSTRUÇÃO DE OBRA DE ACESSIBILIDADE DAS VIAS DO ENTORNO DO TERMINAL RODOVIÁRIO DE BRASÍLIA DE MINAS/MG</v>
      </c>
      <c r="B12" s="528"/>
      <c r="C12" s="528"/>
      <c r="D12" s="528"/>
      <c r="E12" s="528"/>
      <c r="F12" s="528"/>
      <c r="G12" s="528"/>
      <c r="H12" s="528"/>
      <c r="I12" s="528"/>
      <c r="J12" s="528"/>
      <c r="K12" s="528"/>
      <c r="L12" s="528"/>
      <c r="M12" s="528"/>
      <c r="N12" s="528"/>
      <c r="O12" s="528"/>
      <c r="P12" s="528"/>
      <c r="Q12" s="528"/>
      <c r="R12" s="528"/>
      <c r="S12" s="528"/>
      <c r="T12" s="528"/>
      <c r="U12" s="528"/>
      <c r="V12" s="528"/>
      <c r="W12" s="528"/>
      <c r="X12" s="528"/>
      <c r="Y12" s="528"/>
      <c r="Z12" s="528"/>
      <c r="AA12" s="529"/>
      <c r="AB12" s="84"/>
      <c r="AC12" s="77"/>
      <c r="AD12" s="77"/>
      <c r="AO12" s="132"/>
      <c r="AP12" s="116"/>
      <c r="AQ12" s="565"/>
      <c r="AR12" s="565"/>
      <c r="AS12" s="565"/>
      <c r="AT12" s="106"/>
      <c r="AU12" s="85"/>
    </row>
    <row r="13" spans="1:48" ht="39" customHeight="1" thickTop="1" x14ac:dyDescent="0.25">
      <c r="A13" s="597" t="s">
        <v>55</v>
      </c>
      <c r="B13" s="537"/>
      <c r="C13" s="535" t="s">
        <v>56</v>
      </c>
      <c r="D13" s="536"/>
      <c r="E13" s="536"/>
      <c r="F13" s="537"/>
      <c r="G13" s="193" t="s">
        <v>57</v>
      </c>
      <c r="H13" s="193" t="s">
        <v>58</v>
      </c>
      <c r="I13" s="541"/>
      <c r="J13" s="542"/>
      <c r="K13" s="542"/>
      <c r="L13" s="543"/>
      <c r="M13" s="532" t="s">
        <v>59</v>
      </c>
      <c r="N13" s="533"/>
      <c r="O13" s="533"/>
      <c r="P13" s="533"/>
      <c r="Q13" s="534"/>
      <c r="R13" s="532" t="s">
        <v>60</v>
      </c>
      <c r="S13" s="533"/>
      <c r="T13" s="533"/>
      <c r="U13" s="533"/>
      <c r="V13" s="534"/>
      <c r="W13" s="532" t="s">
        <v>61</v>
      </c>
      <c r="X13" s="533"/>
      <c r="Y13" s="533"/>
      <c r="Z13" s="533"/>
      <c r="AA13" s="564"/>
      <c r="AB13" s="525" t="s">
        <v>62</v>
      </c>
      <c r="AC13" s="526"/>
      <c r="AD13" s="526"/>
      <c r="AE13" s="526"/>
      <c r="AF13" s="526"/>
      <c r="AG13" s="525" t="s">
        <v>96</v>
      </c>
      <c r="AH13" s="526"/>
      <c r="AI13" s="526"/>
      <c r="AJ13" s="526"/>
      <c r="AK13" s="566"/>
      <c r="AL13" s="525"/>
      <c r="AM13" s="526"/>
      <c r="AN13" s="526"/>
      <c r="AO13" s="526"/>
      <c r="AP13" s="566"/>
      <c r="AQ13" s="565"/>
      <c r="AR13" s="565"/>
      <c r="AS13" s="565"/>
      <c r="AT13" s="106"/>
      <c r="AU13" s="86"/>
    </row>
    <row r="14" spans="1:48" ht="30" customHeight="1" x14ac:dyDescent="0.25">
      <c r="A14" s="598"/>
      <c r="B14" s="540"/>
      <c r="C14" s="538"/>
      <c r="D14" s="539"/>
      <c r="E14" s="539"/>
      <c r="F14" s="540"/>
      <c r="G14" s="194" t="s">
        <v>63</v>
      </c>
      <c r="H14" s="194" t="s">
        <v>64</v>
      </c>
      <c r="I14" s="599" t="s">
        <v>1</v>
      </c>
      <c r="J14" s="484"/>
      <c r="K14" s="485"/>
      <c r="L14" s="195" t="s">
        <v>63</v>
      </c>
      <c r="M14" s="616" t="s">
        <v>1</v>
      </c>
      <c r="N14" s="484"/>
      <c r="O14" s="484"/>
      <c r="P14" s="485"/>
      <c r="Q14" s="196" t="s">
        <v>63</v>
      </c>
      <c r="R14" s="616" t="s">
        <v>1</v>
      </c>
      <c r="S14" s="484"/>
      <c r="T14" s="484"/>
      <c r="U14" s="485"/>
      <c r="V14" s="196" t="s">
        <v>63</v>
      </c>
      <c r="W14" s="616" t="s">
        <v>1</v>
      </c>
      <c r="X14" s="484"/>
      <c r="Y14" s="484"/>
      <c r="Z14" s="485"/>
      <c r="AA14" s="197" t="s">
        <v>63</v>
      </c>
      <c r="AB14" s="483" t="s">
        <v>1</v>
      </c>
      <c r="AC14" s="484"/>
      <c r="AD14" s="484"/>
      <c r="AE14" s="485"/>
      <c r="AF14" s="198" t="s">
        <v>63</v>
      </c>
      <c r="AG14" s="483" t="s">
        <v>1</v>
      </c>
      <c r="AH14" s="484"/>
      <c r="AI14" s="484"/>
      <c r="AJ14" s="485"/>
      <c r="AK14" s="197" t="s">
        <v>63</v>
      </c>
      <c r="AL14" s="483"/>
      <c r="AM14" s="484"/>
      <c r="AN14" s="484"/>
      <c r="AO14" s="485"/>
      <c r="AP14" s="197"/>
      <c r="AR14" s="77"/>
      <c r="AS14" s="106"/>
      <c r="AT14" s="106"/>
      <c r="AU14" s="86"/>
    </row>
    <row r="15" spans="1:48" ht="21" customHeight="1" x14ac:dyDescent="0.25">
      <c r="A15" s="544">
        <v>1</v>
      </c>
      <c r="B15" s="545"/>
      <c r="C15" s="546" t="str">
        <f>PLANILHA!D15</f>
        <v>SERVIÇOS PRELIMINARES</v>
      </c>
      <c r="D15" s="547"/>
      <c r="E15" s="547"/>
      <c r="F15" s="548"/>
      <c r="G15" s="88">
        <f t="shared" ref="G15:G22" si="0">H15/$H$23</f>
        <v>1.0739061185397627E-2</v>
      </c>
      <c r="H15" s="108">
        <f>PLANILHA!S17</f>
        <v>1177.1099999999999</v>
      </c>
      <c r="I15" s="600">
        <f>H15</f>
        <v>1177.1099999999999</v>
      </c>
      <c r="J15" s="601"/>
      <c r="K15" s="602"/>
      <c r="L15" s="89">
        <f>SUM(Q15+V15+AA15)</f>
        <v>1</v>
      </c>
      <c r="M15" s="609">
        <f t="shared" ref="M15:M20" si="1">Q15*I15</f>
        <v>1177.1099999999999</v>
      </c>
      <c r="N15" s="610"/>
      <c r="O15" s="610"/>
      <c r="P15" s="611"/>
      <c r="Q15" s="160">
        <v>1</v>
      </c>
      <c r="R15" s="619">
        <f>V15*I15</f>
        <v>0</v>
      </c>
      <c r="S15" s="601"/>
      <c r="T15" s="601"/>
      <c r="U15" s="602"/>
      <c r="V15" s="112"/>
      <c r="W15" s="620" t="s">
        <v>65</v>
      </c>
      <c r="X15" s="547"/>
      <c r="Y15" s="547"/>
      <c r="Z15" s="548"/>
      <c r="AA15" s="167"/>
      <c r="AB15" s="479" t="s">
        <v>65</v>
      </c>
      <c r="AC15" s="480"/>
      <c r="AD15" s="480"/>
      <c r="AE15" s="481"/>
      <c r="AF15" s="163"/>
      <c r="AG15" s="486">
        <f t="shared" ref="AG15:AG18" si="2">AK15*I15</f>
        <v>0</v>
      </c>
      <c r="AH15" s="487"/>
      <c r="AI15" s="487"/>
      <c r="AJ15" s="488"/>
      <c r="AK15" s="139"/>
      <c r="AL15" s="486"/>
      <c r="AM15" s="487"/>
      <c r="AN15" s="487"/>
      <c r="AO15" s="488"/>
      <c r="AP15" s="139"/>
      <c r="AR15" s="151"/>
      <c r="AS15" s="154">
        <f>Q15+V15+AA15+AF15+AK15+AP15</f>
        <v>1</v>
      </c>
      <c r="AT15" s="87"/>
      <c r="AU15" s="85"/>
      <c r="AV15" s="151">
        <f>AU2+AK15+AF15+AA15+V15+Q15</f>
        <v>1</v>
      </c>
    </row>
    <row r="16" spans="1:48" ht="21" customHeight="1" x14ac:dyDescent="0.25">
      <c r="A16" s="530">
        <v>2</v>
      </c>
      <c r="B16" s="531"/>
      <c r="C16" s="507" t="str">
        <f>PLANILHA!D18</f>
        <v>DEMOLIÇÃO- REMOÇÃO- REGULARIZAÇÃO</v>
      </c>
      <c r="D16" s="508"/>
      <c r="E16" s="508"/>
      <c r="F16" s="509"/>
      <c r="G16" s="90">
        <f t="shared" si="0"/>
        <v>3.7526637590281339E-2</v>
      </c>
      <c r="H16" s="109">
        <f>PLANILHA!S24</f>
        <v>4113.3</v>
      </c>
      <c r="I16" s="510">
        <f t="shared" ref="I16:I18" si="3">H16</f>
        <v>4113.3</v>
      </c>
      <c r="J16" s="511"/>
      <c r="K16" s="512"/>
      <c r="L16" s="89">
        <f t="shared" ref="L16:L22" si="4">SUM(Q16+V16+AA16)</f>
        <v>1</v>
      </c>
      <c r="M16" s="513">
        <f>Q16*I16</f>
        <v>4113.3</v>
      </c>
      <c r="N16" s="514"/>
      <c r="O16" s="514"/>
      <c r="P16" s="515"/>
      <c r="Q16" s="161">
        <v>1</v>
      </c>
      <c r="R16" s="513">
        <f>V16*I16</f>
        <v>0</v>
      </c>
      <c r="S16" s="514"/>
      <c r="T16" s="514"/>
      <c r="U16" s="515"/>
      <c r="V16" s="113"/>
      <c r="W16" s="482">
        <f t="shared" ref="W16:W21" si="5">I16*AA16</f>
        <v>0</v>
      </c>
      <c r="X16" s="480"/>
      <c r="Y16" s="480"/>
      <c r="Z16" s="481"/>
      <c r="AA16" s="168"/>
      <c r="AB16" s="479" t="s">
        <v>65</v>
      </c>
      <c r="AC16" s="480"/>
      <c r="AD16" s="480"/>
      <c r="AE16" s="481"/>
      <c r="AF16" s="164"/>
      <c r="AG16" s="489">
        <f t="shared" si="2"/>
        <v>0</v>
      </c>
      <c r="AH16" s="490"/>
      <c r="AI16" s="490"/>
      <c r="AJ16" s="491"/>
      <c r="AK16" s="140"/>
      <c r="AL16" s="489"/>
      <c r="AM16" s="490"/>
      <c r="AN16" s="490"/>
      <c r="AO16" s="491"/>
      <c r="AP16" s="140"/>
      <c r="AR16" s="151"/>
      <c r="AS16" s="151">
        <f>Q16+V16+AA16+AF16+AK16+AP16</f>
        <v>1</v>
      </c>
      <c r="AV16" s="151">
        <f>AU3+AK16+AF16+AA16+V16+Q16</f>
        <v>1</v>
      </c>
    </row>
    <row r="17" spans="1:49" ht="21" customHeight="1" x14ac:dyDescent="0.25">
      <c r="A17" s="530">
        <v>3</v>
      </c>
      <c r="B17" s="531"/>
      <c r="C17" s="507" t="str">
        <f>PLANILHA!D25</f>
        <v>MEIO-FIO  E RAMPA DE ACESSIBILIDADE</v>
      </c>
      <c r="D17" s="508"/>
      <c r="E17" s="508"/>
      <c r="F17" s="509"/>
      <c r="G17" s="90">
        <f t="shared" si="0"/>
        <v>0.14910509191941548</v>
      </c>
      <c r="H17" s="109">
        <f>PLANILHA!S28</f>
        <v>16343.43</v>
      </c>
      <c r="I17" s="606">
        <f t="shared" si="3"/>
        <v>16343.43</v>
      </c>
      <c r="J17" s="607"/>
      <c r="K17" s="608"/>
      <c r="L17" s="89">
        <f t="shared" si="4"/>
        <v>1</v>
      </c>
      <c r="M17" s="513">
        <f t="shared" si="1"/>
        <v>11440.401</v>
      </c>
      <c r="N17" s="514"/>
      <c r="O17" s="514"/>
      <c r="P17" s="515"/>
      <c r="Q17" s="161">
        <v>0.7</v>
      </c>
      <c r="R17" s="609">
        <f>V17*I17</f>
        <v>4903.0289999999995</v>
      </c>
      <c r="S17" s="610"/>
      <c r="T17" s="610"/>
      <c r="U17" s="611"/>
      <c r="V17" s="113">
        <v>0.3</v>
      </c>
      <c r="W17" s="482">
        <f t="shared" si="5"/>
        <v>0</v>
      </c>
      <c r="X17" s="480"/>
      <c r="Y17" s="480"/>
      <c r="Z17" s="481"/>
      <c r="AA17" s="168"/>
      <c r="AB17" s="479" t="s">
        <v>65</v>
      </c>
      <c r="AC17" s="480"/>
      <c r="AD17" s="480"/>
      <c r="AE17" s="481"/>
      <c r="AF17" s="164"/>
      <c r="AG17" s="476">
        <f t="shared" si="2"/>
        <v>0</v>
      </c>
      <c r="AH17" s="477"/>
      <c r="AI17" s="477"/>
      <c r="AJ17" s="478"/>
      <c r="AK17" s="140"/>
      <c r="AL17" s="476"/>
      <c r="AM17" s="477"/>
      <c r="AN17" s="477"/>
      <c r="AO17" s="478"/>
      <c r="AP17" s="140"/>
      <c r="AR17" s="151"/>
      <c r="AS17" s="151">
        <f>Q17+V17+AA17+AF17+AK17+AP17</f>
        <v>1</v>
      </c>
      <c r="AV17" s="151">
        <f>AU4+AK17+AF17+AA17+V17+Q17</f>
        <v>1</v>
      </c>
    </row>
    <row r="18" spans="1:49" ht="21" customHeight="1" x14ac:dyDescent="0.25">
      <c r="A18" s="530">
        <v>4</v>
      </c>
      <c r="B18" s="531"/>
      <c r="C18" s="507" t="str">
        <f>PLANILHA!D29</f>
        <v>PISO</v>
      </c>
      <c r="D18" s="508"/>
      <c r="E18" s="508"/>
      <c r="F18" s="509"/>
      <c r="G18" s="90">
        <f t="shared" si="0"/>
        <v>0.43663633674767688</v>
      </c>
      <c r="H18" s="109">
        <f>PLANILHA!S32</f>
        <v>47859.770000000004</v>
      </c>
      <c r="I18" s="600">
        <f t="shared" si="3"/>
        <v>47859.770000000004</v>
      </c>
      <c r="J18" s="601"/>
      <c r="K18" s="602"/>
      <c r="L18" s="89">
        <f t="shared" si="4"/>
        <v>1</v>
      </c>
      <c r="M18" s="513">
        <f t="shared" si="1"/>
        <v>0</v>
      </c>
      <c r="N18" s="514"/>
      <c r="O18" s="514"/>
      <c r="P18" s="515"/>
      <c r="Q18" s="161"/>
      <c r="R18" s="609">
        <f t="shared" ref="R18" si="6">V18*I18</f>
        <v>23929.885000000002</v>
      </c>
      <c r="S18" s="610"/>
      <c r="T18" s="610"/>
      <c r="U18" s="611"/>
      <c r="V18" s="113">
        <v>0.5</v>
      </c>
      <c r="W18" s="482">
        <f t="shared" si="5"/>
        <v>23929.885000000002</v>
      </c>
      <c r="X18" s="480"/>
      <c r="Y18" s="480"/>
      <c r="Z18" s="481"/>
      <c r="AA18" s="168">
        <v>0.5</v>
      </c>
      <c r="AB18" s="479"/>
      <c r="AC18" s="480"/>
      <c r="AD18" s="480"/>
      <c r="AE18" s="481"/>
      <c r="AF18" s="165"/>
      <c r="AG18" s="476">
        <f t="shared" si="2"/>
        <v>0</v>
      </c>
      <c r="AH18" s="477"/>
      <c r="AI18" s="477"/>
      <c r="AJ18" s="478"/>
      <c r="AK18" s="141"/>
      <c r="AL18" s="476"/>
      <c r="AM18" s="477"/>
      <c r="AN18" s="477"/>
      <c r="AO18" s="478"/>
      <c r="AP18" s="141"/>
      <c r="AR18" s="151"/>
      <c r="AS18" s="151">
        <f>Q18+V18+AF18+AA18+AK18+AP18</f>
        <v>1</v>
      </c>
      <c r="AV18" s="151">
        <f>AU4+AK18+AF18+AA18+V18+Q18</f>
        <v>1</v>
      </c>
    </row>
    <row r="19" spans="1:49" ht="21" customHeight="1" x14ac:dyDescent="0.25">
      <c r="A19" s="530">
        <v>5</v>
      </c>
      <c r="B19" s="531"/>
      <c r="C19" s="507" t="str">
        <f>PLANILHA!D33</f>
        <v>ILUMINAÇÃO</v>
      </c>
      <c r="D19" s="508"/>
      <c r="E19" s="508"/>
      <c r="F19" s="509"/>
      <c r="G19" s="90">
        <f t="shared" si="0"/>
        <v>0.13295521746436961</v>
      </c>
      <c r="H19" s="109">
        <f>PLANILHA!S36</f>
        <v>14573.239999999998</v>
      </c>
      <c r="I19" s="510">
        <f>H19</f>
        <v>14573.239999999998</v>
      </c>
      <c r="J19" s="511"/>
      <c r="K19" s="512"/>
      <c r="L19" s="89">
        <f t="shared" si="4"/>
        <v>1</v>
      </c>
      <c r="M19" s="513">
        <f t="shared" si="1"/>
        <v>0</v>
      </c>
      <c r="N19" s="514"/>
      <c r="O19" s="514"/>
      <c r="P19" s="515"/>
      <c r="Q19" s="161"/>
      <c r="R19" s="561">
        <f>V19*I19</f>
        <v>0</v>
      </c>
      <c r="S19" s="562"/>
      <c r="T19" s="562"/>
      <c r="U19" s="563"/>
      <c r="V19" s="114"/>
      <c r="W19" s="482">
        <f t="shared" si="5"/>
        <v>14573.239999999998</v>
      </c>
      <c r="X19" s="480"/>
      <c r="Y19" s="480"/>
      <c r="Z19" s="481"/>
      <c r="AA19" s="168">
        <v>1</v>
      </c>
      <c r="AB19" s="479"/>
      <c r="AC19" s="480"/>
      <c r="AD19" s="480"/>
      <c r="AE19" s="481"/>
      <c r="AF19" s="165"/>
      <c r="AG19" s="476"/>
      <c r="AH19" s="477"/>
      <c r="AI19" s="477"/>
      <c r="AJ19" s="478"/>
      <c r="AK19" s="142"/>
      <c r="AL19" s="476"/>
      <c r="AM19" s="477"/>
      <c r="AN19" s="477"/>
      <c r="AO19" s="478"/>
      <c r="AP19" s="142"/>
      <c r="AR19" s="151"/>
      <c r="AS19" s="151">
        <f>Q19+V19+AA19+AF19+AK19+AP19</f>
        <v>1</v>
      </c>
      <c r="AV19" s="151">
        <f>AU5+AK19+AF19+AA19+V19+Q19</f>
        <v>1</v>
      </c>
    </row>
    <row r="20" spans="1:49" ht="21" customHeight="1" x14ac:dyDescent="0.25">
      <c r="A20" s="530">
        <v>6</v>
      </c>
      <c r="B20" s="531"/>
      <c r="C20" s="507" t="str">
        <f>PLANILHA!D37</f>
        <v>PAISAGISMO</v>
      </c>
      <c r="D20" s="508"/>
      <c r="E20" s="508"/>
      <c r="F20" s="509"/>
      <c r="G20" s="90">
        <f t="shared" si="0"/>
        <v>6.96014985474884E-2</v>
      </c>
      <c r="H20" s="109">
        <f>PLANILHA!S42</f>
        <v>7629.0300000000007</v>
      </c>
      <c r="I20" s="510">
        <f>H20</f>
        <v>7629.0300000000007</v>
      </c>
      <c r="J20" s="511"/>
      <c r="K20" s="512"/>
      <c r="L20" s="89">
        <f t="shared" si="4"/>
        <v>1</v>
      </c>
      <c r="M20" s="513">
        <f t="shared" si="1"/>
        <v>0</v>
      </c>
      <c r="N20" s="514"/>
      <c r="O20" s="514"/>
      <c r="P20" s="515"/>
      <c r="Q20" s="161"/>
      <c r="R20" s="561">
        <f>V20*I20</f>
        <v>0</v>
      </c>
      <c r="S20" s="562"/>
      <c r="T20" s="562"/>
      <c r="U20" s="563"/>
      <c r="V20" s="114"/>
      <c r="W20" s="482">
        <f t="shared" si="5"/>
        <v>7629.0300000000007</v>
      </c>
      <c r="X20" s="480"/>
      <c r="Y20" s="480"/>
      <c r="Z20" s="481"/>
      <c r="AA20" s="168">
        <v>1</v>
      </c>
      <c r="AB20" s="479"/>
      <c r="AC20" s="480"/>
      <c r="AD20" s="480"/>
      <c r="AE20" s="481"/>
      <c r="AF20" s="165"/>
      <c r="AG20" s="476"/>
      <c r="AH20" s="477"/>
      <c r="AI20" s="477"/>
      <c r="AJ20" s="478"/>
      <c r="AK20" s="142"/>
      <c r="AL20" s="476"/>
      <c r="AM20" s="477"/>
      <c r="AN20" s="477"/>
      <c r="AO20" s="478"/>
      <c r="AP20" s="142"/>
      <c r="AR20" s="151"/>
      <c r="AS20" s="151">
        <f>Q20+V20+AA20+AF20+AK20+AP20</f>
        <v>1</v>
      </c>
      <c r="AV20" s="151">
        <f>AU6+AK20+AF20+AA20+V20+Q20</f>
        <v>1</v>
      </c>
    </row>
    <row r="21" spans="1:49" ht="37.200000000000003" customHeight="1" x14ac:dyDescent="0.25">
      <c r="A21" s="530">
        <v>7</v>
      </c>
      <c r="B21" s="531"/>
      <c r="C21" s="507" t="str">
        <f>PLANILHA!D43</f>
        <v>PAVIMENTAÇÃ E SINALIZAÇÃO DO ESTACIONAMENTO</v>
      </c>
      <c r="D21" s="508"/>
      <c r="E21" s="508"/>
      <c r="F21" s="509"/>
      <c r="G21" s="90">
        <f t="shared" si="0"/>
        <v>0.12267523789313654</v>
      </c>
      <c r="H21" s="109">
        <f>PLANILHA!S54</f>
        <v>13446.45</v>
      </c>
      <c r="I21" s="510">
        <f>H21</f>
        <v>13446.45</v>
      </c>
      <c r="J21" s="511"/>
      <c r="K21" s="512"/>
      <c r="L21" s="89">
        <f t="shared" si="4"/>
        <v>1</v>
      </c>
      <c r="M21" s="513">
        <f>Q21*I21</f>
        <v>5378.5800000000008</v>
      </c>
      <c r="N21" s="514"/>
      <c r="O21" s="514"/>
      <c r="P21" s="515"/>
      <c r="Q21" s="161">
        <v>0.4</v>
      </c>
      <c r="R21" s="609">
        <f>V21*I21</f>
        <v>5378.5800000000008</v>
      </c>
      <c r="S21" s="610"/>
      <c r="T21" s="610"/>
      <c r="U21" s="611"/>
      <c r="V21" s="114">
        <v>0.4</v>
      </c>
      <c r="W21" s="482">
        <f t="shared" si="5"/>
        <v>2689.2900000000004</v>
      </c>
      <c r="X21" s="480"/>
      <c r="Y21" s="480"/>
      <c r="Z21" s="481"/>
      <c r="AA21" s="168">
        <v>0.2</v>
      </c>
      <c r="AB21" s="479"/>
      <c r="AC21" s="480"/>
      <c r="AD21" s="480"/>
      <c r="AE21" s="481"/>
      <c r="AF21" s="165"/>
      <c r="AG21" s="476"/>
      <c r="AH21" s="477"/>
      <c r="AI21" s="477"/>
      <c r="AJ21" s="478"/>
      <c r="AK21" s="142"/>
      <c r="AL21" s="476"/>
      <c r="AM21" s="477"/>
      <c r="AN21" s="477"/>
      <c r="AO21" s="478"/>
      <c r="AP21" s="142"/>
      <c r="AR21" s="151"/>
      <c r="AS21" s="151">
        <f>Q21+V21+AA21+AF21+AK21+AP21</f>
        <v>1</v>
      </c>
      <c r="AV21" s="151">
        <f>AP21+AK21+AF21+AA21+V21+Q21</f>
        <v>1</v>
      </c>
    </row>
    <row r="22" spans="1:49" s="176" customFormat="1" ht="22.5" customHeight="1" x14ac:dyDescent="0.25">
      <c r="A22" s="530">
        <v>8</v>
      </c>
      <c r="B22" s="531"/>
      <c r="C22" s="507" t="str">
        <f>PLANILHA!D55</f>
        <v>LIMPEZA DA OBRA</v>
      </c>
      <c r="D22" s="508"/>
      <c r="E22" s="508"/>
      <c r="F22" s="509"/>
      <c r="G22" s="90">
        <f t="shared" si="0"/>
        <v>4.0760918652234183E-2</v>
      </c>
      <c r="H22" s="109">
        <f>PLANILHA!S57</f>
        <v>4467.8100000000004</v>
      </c>
      <c r="I22" s="510">
        <f t="shared" ref="I22" si="7">H22</f>
        <v>4467.8100000000004</v>
      </c>
      <c r="J22" s="511"/>
      <c r="K22" s="512"/>
      <c r="L22" s="89">
        <f t="shared" si="4"/>
        <v>1</v>
      </c>
      <c r="M22" s="513">
        <f t="shared" ref="M22" si="8">Q22*I22</f>
        <v>0</v>
      </c>
      <c r="N22" s="514"/>
      <c r="O22" s="514"/>
      <c r="P22" s="515"/>
      <c r="Q22" s="161"/>
      <c r="R22" s="513">
        <f t="shared" ref="R22" si="9">V22*I22</f>
        <v>0</v>
      </c>
      <c r="S22" s="514"/>
      <c r="T22" s="514"/>
      <c r="U22" s="515"/>
      <c r="V22" s="114"/>
      <c r="W22" s="482">
        <f t="shared" ref="W22" si="10">I22*AA22</f>
        <v>4467.8100000000004</v>
      </c>
      <c r="X22" s="480"/>
      <c r="Y22" s="480"/>
      <c r="Z22" s="481"/>
      <c r="AA22" s="168">
        <v>1</v>
      </c>
      <c r="AB22" s="479"/>
      <c r="AC22" s="480"/>
      <c r="AD22" s="480"/>
      <c r="AE22" s="481"/>
      <c r="AF22" s="165"/>
      <c r="AG22" s="476"/>
      <c r="AH22" s="477"/>
      <c r="AI22" s="477"/>
      <c r="AJ22" s="478"/>
      <c r="AK22" s="142"/>
      <c r="AL22" s="476"/>
      <c r="AM22" s="477"/>
      <c r="AN22" s="477"/>
      <c r="AO22" s="478"/>
      <c r="AP22" s="142"/>
      <c r="AR22" s="151"/>
      <c r="AS22" s="151"/>
      <c r="AV22" s="151"/>
    </row>
    <row r="23" spans="1:49" s="152" customFormat="1" ht="18" customHeight="1" x14ac:dyDescent="0.25">
      <c r="A23" s="621" t="s">
        <v>66</v>
      </c>
      <c r="B23" s="622"/>
      <c r="C23" s="625" t="s">
        <v>67</v>
      </c>
      <c r="D23" s="626"/>
      <c r="E23" s="626"/>
      <c r="F23" s="627"/>
      <c r="G23" s="92">
        <f>SUM(G15:G22)</f>
        <v>1</v>
      </c>
      <c r="H23" s="110">
        <f>SUM(H15:H22)</f>
        <v>109610.14</v>
      </c>
      <c r="I23" s="603">
        <f>SUM(I15:K22)</f>
        <v>109610.14</v>
      </c>
      <c r="J23" s="604"/>
      <c r="K23" s="605"/>
      <c r="L23" s="91">
        <f t="shared" ref="L23" si="11">(I23)/H23</f>
        <v>1</v>
      </c>
      <c r="M23" s="555">
        <f>SUM(M15:P22)</f>
        <v>22109.391000000003</v>
      </c>
      <c r="N23" s="556"/>
      <c r="O23" s="556"/>
      <c r="P23" s="557"/>
      <c r="Q23" s="93">
        <f>(M23)/$H$23</f>
        <v>0.20170935827652445</v>
      </c>
      <c r="R23" s="555">
        <f>SUM(R15:U22)</f>
        <v>34211.493999999999</v>
      </c>
      <c r="S23" s="556"/>
      <c r="T23" s="556"/>
      <c r="U23" s="557"/>
      <c r="V23" s="93">
        <f>(R23)/$H$23</f>
        <v>0.31211979110691768</v>
      </c>
      <c r="W23" s="555">
        <f>SUM(W15:Z22)</f>
        <v>53289.254999999997</v>
      </c>
      <c r="X23" s="556"/>
      <c r="Y23" s="556"/>
      <c r="Z23" s="557"/>
      <c r="AA23" s="94">
        <f>(W23)/$H$23</f>
        <v>0.4861708506165579</v>
      </c>
      <c r="AB23" s="555"/>
      <c r="AC23" s="556"/>
      <c r="AD23" s="556"/>
      <c r="AE23" s="557"/>
      <c r="AF23" s="162"/>
      <c r="AG23" s="555"/>
      <c r="AH23" s="556"/>
      <c r="AI23" s="556"/>
      <c r="AJ23" s="557"/>
      <c r="AK23" s="94"/>
      <c r="AL23" s="555"/>
      <c r="AM23" s="556"/>
      <c r="AN23" s="556"/>
      <c r="AO23" s="557"/>
      <c r="AP23" s="94"/>
      <c r="AR23" s="145"/>
      <c r="AS23" s="155">
        <f>AP23+AK23+AF23+AA23+V23+Q23</f>
        <v>1</v>
      </c>
      <c r="AT23" s="153"/>
      <c r="AU23" s="153"/>
      <c r="AV23" s="153"/>
    </row>
    <row r="24" spans="1:49" s="152" customFormat="1" ht="18" customHeight="1" thickBot="1" x14ac:dyDescent="0.3">
      <c r="A24" s="623"/>
      <c r="B24" s="624"/>
      <c r="C24" s="631" t="s">
        <v>68</v>
      </c>
      <c r="D24" s="632"/>
      <c r="E24" s="632"/>
      <c r="F24" s="633"/>
      <c r="G24" s="95">
        <f>G23</f>
        <v>1</v>
      </c>
      <c r="H24" s="111">
        <f>H23</f>
        <v>109610.14</v>
      </c>
      <c r="I24" s="628">
        <f>I23</f>
        <v>109610.14</v>
      </c>
      <c r="J24" s="629"/>
      <c r="K24" s="630"/>
      <c r="L24" s="159">
        <f>L23</f>
        <v>1</v>
      </c>
      <c r="M24" s="558">
        <f>M23</f>
        <v>22109.391000000003</v>
      </c>
      <c r="N24" s="559"/>
      <c r="O24" s="559"/>
      <c r="P24" s="560"/>
      <c r="Q24" s="96">
        <f>Q23</f>
        <v>0.20170935827652445</v>
      </c>
      <c r="R24" s="558">
        <f>M24+R23</f>
        <v>56320.885000000002</v>
      </c>
      <c r="S24" s="559"/>
      <c r="T24" s="559"/>
      <c r="U24" s="560"/>
      <c r="V24" s="96">
        <f>V23+Q24</f>
        <v>0.51382914938344215</v>
      </c>
      <c r="W24" s="642">
        <f>R24+W23</f>
        <v>109610.14</v>
      </c>
      <c r="X24" s="629"/>
      <c r="Y24" s="629"/>
      <c r="Z24" s="630"/>
      <c r="AA24" s="169">
        <f>AA23+V24</f>
        <v>1</v>
      </c>
      <c r="AB24" s="636"/>
      <c r="AC24" s="637"/>
      <c r="AD24" s="637"/>
      <c r="AE24" s="638"/>
      <c r="AF24" s="166"/>
      <c r="AG24" s="636"/>
      <c r="AH24" s="637"/>
      <c r="AI24" s="637"/>
      <c r="AJ24" s="638"/>
      <c r="AK24" s="97"/>
      <c r="AL24" s="636"/>
      <c r="AM24" s="637"/>
      <c r="AN24" s="637"/>
      <c r="AO24" s="638"/>
      <c r="AP24" s="97"/>
      <c r="AQ24" s="153"/>
      <c r="AR24" s="153"/>
      <c r="AS24" s="153"/>
      <c r="AT24" s="153"/>
      <c r="AU24" s="153"/>
      <c r="AV24" s="153"/>
    </row>
    <row r="25" spans="1:49" ht="15.6" thickTop="1" x14ac:dyDescent="0.25">
      <c r="A25" s="104"/>
      <c r="B25" s="105"/>
      <c r="C25" s="105"/>
      <c r="D25" s="105"/>
      <c r="E25" s="105"/>
      <c r="F25" s="105"/>
      <c r="G25" s="98"/>
      <c r="H25" s="99"/>
      <c r="I25" s="100"/>
      <c r="J25" s="100"/>
      <c r="K25" s="99"/>
      <c r="L25" s="98"/>
      <c r="M25" s="100"/>
      <c r="N25" s="100"/>
      <c r="O25" s="100"/>
      <c r="P25" s="99"/>
      <c r="Q25" s="101"/>
      <c r="R25" s="102"/>
      <c r="S25" s="102"/>
      <c r="T25" s="102"/>
      <c r="U25" s="98"/>
      <c r="V25" s="80"/>
      <c r="W25" s="102"/>
      <c r="X25" s="102"/>
      <c r="Y25" s="102"/>
      <c r="Z25" s="98"/>
      <c r="AA25" s="170"/>
      <c r="AB25" s="103"/>
      <c r="AC25" s="98"/>
      <c r="AD25" s="80"/>
      <c r="AP25" s="156"/>
    </row>
    <row r="26" spans="1:49" x14ac:dyDescent="0.25">
      <c r="A26" s="126"/>
      <c r="AA26" s="116"/>
      <c r="AB26" s="126"/>
      <c r="AP26" s="116"/>
    </row>
    <row r="27" spans="1:49" x14ac:dyDescent="0.25">
      <c r="A27" s="126"/>
      <c r="AA27" s="116"/>
      <c r="AB27" s="126"/>
      <c r="AP27" s="116"/>
    </row>
    <row r="28" spans="1:49" ht="46.8" customHeight="1" x14ac:dyDescent="0.25">
      <c r="A28" s="126"/>
      <c r="AA28" s="116"/>
      <c r="AB28" s="126"/>
      <c r="AP28" s="116"/>
    </row>
    <row r="29" spans="1:49" ht="30" customHeight="1" x14ac:dyDescent="0.25">
      <c r="A29" s="126"/>
      <c r="F29" s="792" t="str">
        <f>PLANILHA!L65</f>
        <v>PREFEITURA MUNICIPAL DE BRASÍLIA DE MINAS - CNPJ 18.017.442/0001-06</v>
      </c>
      <c r="G29" s="792"/>
      <c r="H29" s="792"/>
      <c r="I29" s="792"/>
      <c r="J29" s="792"/>
      <c r="K29" s="792"/>
      <c r="L29" s="791"/>
      <c r="M29" s="138"/>
      <c r="N29" s="138"/>
      <c r="O29" s="138"/>
      <c r="P29" s="127"/>
      <c r="Q29" s="127"/>
      <c r="R29" s="127"/>
      <c r="S29" s="792" t="str">
        <f>PLANILHA!B65</f>
        <v xml:space="preserve">                          RT. ALDIR MOREIRA FILHO - CREA MG 199.432/D</v>
      </c>
      <c r="T29" s="792"/>
      <c r="U29" s="792"/>
      <c r="V29" s="792"/>
      <c r="W29" s="792"/>
      <c r="X29" s="792"/>
      <c r="Y29" s="792"/>
      <c r="Z29" s="792"/>
      <c r="AA29" s="148"/>
      <c r="AB29" s="634" t="str">
        <f>F29</f>
        <v>PREFEITURA MUNICIPAL DE BRASÍLIA DE MINAS - CNPJ 18.017.442/0001-06</v>
      </c>
      <c r="AC29" s="635"/>
      <c r="AD29" s="635"/>
      <c r="AE29" s="635"/>
      <c r="AF29" s="635"/>
      <c r="AG29" s="635"/>
      <c r="AH29" s="635"/>
      <c r="AI29" s="635"/>
      <c r="AJ29" s="127"/>
      <c r="AK29" s="521" t="str">
        <f>S29</f>
        <v xml:space="preserve">                          RT. ALDIR MOREIRA FILHO - CREA MG 199.432/D</v>
      </c>
      <c r="AL29" s="521"/>
      <c r="AM29" s="521"/>
      <c r="AN29" s="521"/>
      <c r="AO29" s="521"/>
      <c r="AP29" s="256"/>
      <c r="AV29" s="138"/>
      <c r="AW29" s="138"/>
    </row>
    <row r="30" spans="1:49" ht="15.75" customHeight="1" x14ac:dyDescent="0.25">
      <c r="A30" s="126"/>
      <c r="F30" s="791"/>
      <c r="G30" s="791"/>
      <c r="H30" s="791"/>
      <c r="I30" s="791"/>
      <c r="J30" s="791"/>
      <c r="K30" s="791"/>
      <c r="L30" s="791"/>
      <c r="M30" s="138"/>
      <c r="N30" s="138"/>
      <c r="O30" s="138"/>
      <c r="P30" s="128"/>
      <c r="Q30" s="128"/>
      <c r="R30" s="128"/>
      <c r="S30" s="791"/>
      <c r="T30" s="791"/>
      <c r="U30" s="791"/>
      <c r="V30" s="791"/>
      <c r="W30" s="791"/>
      <c r="X30" s="791"/>
      <c r="Y30" s="791"/>
      <c r="Z30" s="791"/>
      <c r="AA30" s="78"/>
      <c r="AB30" s="634"/>
      <c r="AC30" s="635"/>
      <c r="AD30" s="635"/>
      <c r="AE30" s="635"/>
      <c r="AF30" s="635"/>
      <c r="AG30" s="635"/>
      <c r="AH30" s="635"/>
      <c r="AI30" s="635"/>
      <c r="AJ30" s="128"/>
      <c r="AK30" s="521"/>
      <c r="AL30" s="521"/>
      <c r="AM30" s="521"/>
      <c r="AN30" s="521"/>
      <c r="AO30" s="521"/>
      <c r="AP30" s="78"/>
      <c r="AV30" s="77"/>
      <c r="AW30" s="77"/>
    </row>
    <row r="31" spans="1:49" x14ac:dyDescent="0.25">
      <c r="A31" s="126"/>
      <c r="T31" s="641"/>
      <c r="U31" s="641"/>
      <c r="V31" s="641"/>
      <c r="W31" s="641"/>
      <c r="X31" s="641"/>
      <c r="Y31" s="641"/>
      <c r="Z31" s="641"/>
      <c r="AA31" s="116"/>
      <c r="AB31" s="126"/>
      <c r="AK31" s="137"/>
      <c r="AL31" s="137"/>
      <c r="AM31" s="137"/>
      <c r="AN31" s="137"/>
      <c r="AO31" s="137"/>
      <c r="AP31" s="146"/>
    </row>
    <row r="32" spans="1:49" ht="15.75" customHeight="1" x14ac:dyDescent="0.25">
      <c r="A32" s="126"/>
      <c r="AA32" s="116"/>
      <c r="AB32" s="129"/>
      <c r="AC32" s="127"/>
      <c r="AD32" s="127"/>
      <c r="AP32" s="116"/>
    </row>
    <row r="33" spans="1:42" ht="15.75" customHeight="1" thickBot="1" x14ac:dyDescent="0.3">
      <c r="A33" s="639" t="str">
        <f>PLANILHA!A61</f>
        <v>LOCAL E DATA: BRASILIA DE MINAS, JUNHO DE 2022</v>
      </c>
      <c r="B33" s="640"/>
      <c r="C33" s="640"/>
      <c r="D33" s="640"/>
      <c r="E33" s="640"/>
      <c r="F33" s="640"/>
      <c r="G33" s="640"/>
      <c r="H33" s="132"/>
      <c r="I33" s="132"/>
      <c r="J33" s="132"/>
      <c r="K33" s="132"/>
      <c r="L33" s="132"/>
      <c r="M33" s="132"/>
      <c r="N33" s="132"/>
      <c r="O33" s="132"/>
      <c r="P33" s="132"/>
      <c r="Q33" s="132"/>
      <c r="R33" s="132"/>
      <c r="S33" s="132"/>
      <c r="T33" s="132"/>
      <c r="U33" s="132"/>
      <c r="V33" s="132"/>
      <c r="W33" s="132"/>
      <c r="X33" s="132"/>
      <c r="Y33" s="132"/>
      <c r="Z33" s="132"/>
      <c r="AA33" s="133"/>
      <c r="AB33" s="130"/>
      <c r="AC33" s="131"/>
      <c r="AD33" s="131"/>
      <c r="AE33" s="132"/>
      <c r="AF33" s="132"/>
      <c r="AG33" s="132"/>
      <c r="AH33" s="132"/>
      <c r="AI33" s="132"/>
      <c r="AJ33" s="132"/>
      <c r="AK33" s="132"/>
      <c r="AL33" s="132"/>
      <c r="AM33" s="132"/>
      <c r="AN33" s="132"/>
      <c r="AO33" s="132"/>
      <c r="AP33" s="133"/>
    </row>
  </sheetData>
  <mergeCells count="155">
    <mergeCell ref="AB29:AI30"/>
    <mergeCell ref="AK29:AO30"/>
    <mergeCell ref="AL23:AO23"/>
    <mergeCell ref="AL24:AO24"/>
    <mergeCell ref="AB23:AE23"/>
    <mergeCell ref="AB24:AE24"/>
    <mergeCell ref="AG23:AJ23"/>
    <mergeCell ref="A33:G33"/>
    <mergeCell ref="T31:Z31"/>
    <mergeCell ref="W24:Z24"/>
    <mergeCell ref="AG24:AJ24"/>
    <mergeCell ref="F29:K29"/>
    <mergeCell ref="S29:Z29"/>
    <mergeCell ref="C23:F23"/>
    <mergeCell ref="M21:P21"/>
    <mergeCell ref="M14:P14"/>
    <mergeCell ref="M15:P15"/>
    <mergeCell ref="M16:P16"/>
    <mergeCell ref="M17:P17"/>
    <mergeCell ref="M18:P18"/>
    <mergeCell ref="M19:P19"/>
    <mergeCell ref="M22:P22"/>
    <mergeCell ref="R22:U22"/>
    <mergeCell ref="I24:K24"/>
    <mergeCell ref="C24:F24"/>
    <mergeCell ref="W20:Z20"/>
    <mergeCell ref="R17:U17"/>
    <mergeCell ref="R18:U18"/>
    <mergeCell ref="A1:Z3"/>
    <mergeCell ref="X7:AA7"/>
    <mergeCell ref="A13:B14"/>
    <mergeCell ref="I14:K14"/>
    <mergeCell ref="I15:K15"/>
    <mergeCell ref="I16:K16"/>
    <mergeCell ref="I18:K18"/>
    <mergeCell ref="I19:K19"/>
    <mergeCell ref="I23:K23"/>
    <mergeCell ref="A17:B17"/>
    <mergeCell ref="C17:F17"/>
    <mergeCell ref="I17:K17"/>
    <mergeCell ref="W23:Z23"/>
    <mergeCell ref="R20:U20"/>
    <mergeCell ref="R21:U21"/>
    <mergeCell ref="AA1:AA3"/>
    <mergeCell ref="H7:S7"/>
    <mergeCell ref="H8:S8"/>
    <mergeCell ref="T7:W7"/>
    <mergeCell ref="R14:U14"/>
    <mergeCell ref="T8:W8"/>
    <mergeCell ref="R15:U15"/>
    <mergeCell ref="W14:Z14"/>
    <mergeCell ref="W15:Z15"/>
    <mergeCell ref="AQ3:AS3"/>
    <mergeCell ref="AQ2:AS2"/>
    <mergeCell ref="AQ13:AS13"/>
    <mergeCell ref="AQ12:AS12"/>
    <mergeCell ref="AQ11:AS11"/>
    <mergeCell ref="AQ10:AS10"/>
    <mergeCell ref="AQ8:AS8"/>
    <mergeCell ref="AG13:AK13"/>
    <mergeCell ref="AQ7:AS7"/>
    <mergeCell ref="AP1:AP3"/>
    <mergeCell ref="AB1:AO3"/>
    <mergeCell ref="AL13:AP13"/>
    <mergeCell ref="AQ6:AS6"/>
    <mergeCell ref="AQ5:AS5"/>
    <mergeCell ref="AQ4:AS4"/>
    <mergeCell ref="AB6:AF6"/>
    <mergeCell ref="AB7:AF7"/>
    <mergeCell ref="AB5:AF5"/>
    <mergeCell ref="AB9:AF9"/>
    <mergeCell ref="AE8:AF8"/>
    <mergeCell ref="AG8:AK8"/>
    <mergeCell ref="AG7:AK7"/>
    <mergeCell ref="AG16:AJ16"/>
    <mergeCell ref="AG17:AJ17"/>
    <mergeCell ref="A10:AA10"/>
    <mergeCell ref="A9:AA9"/>
    <mergeCell ref="A11:AA11"/>
    <mergeCell ref="M23:P23"/>
    <mergeCell ref="M24:P24"/>
    <mergeCell ref="R24:U24"/>
    <mergeCell ref="A22:B22"/>
    <mergeCell ref="C22:F22"/>
    <mergeCell ref="I22:K22"/>
    <mergeCell ref="R16:U16"/>
    <mergeCell ref="R19:U19"/>
    <mergeCell ref="R23:U23"/>
    <mergeCell ref="W16:Z16"/>
    <mergeCell ref="W17:Z17"/>
    <mergeCell ref="A18:B18"/>
    <mergeCell ref="C18:F18"/>
    <mergeCell ref="A19:B19"/>
    <mergeCell ref="C19:F19"/>
    <mergeCell ref="A21:B21"/>
    <mergeCell ref="W13:AA13"/>
    <mergeCell ref="C20:F20"/>
    <mergeCell ref="A23:B24"/>
    <mergeCell ref="R13:V13"/>
    <mergeCell ref="X8:AA8"/>
    <mergeCell ref="C13:F14"/>
    <mergeCell ref="I13:L13"/>
    <mergeCell ref="M13:Q13"/>
    <mergeCell ref="A15:B15"/>
    <mergeCell ref="C15:F15"/>
    <mergeCell ref="A16:B16"/>
    <mergeCell ref="C16:F16"/>
    <mergeCell ref="F4:J4"/>
    <mergeCell ref="F5:J5"/>
    <mergeCell ref="K4:N4"/>
    <mergeCell ref="AB10:AF10"/>
    <mergeCell ref="O4:AA4"/>
    <mergeCell ref="K5:N5"/>
    <mergeCell ref="C21:F21"/>
    <mergeCell ref="I21:K21"/>
    <mergeCell ref="I20:K20"/>
    <mergeCell ref="M20:P20"/>
    <mergeCell ref="A4:E4"/>
    <mergeCell ref="A7:G7"/>
    <mergeCell ref="A8:G8"/>
    <mergeCell ref="A6:AA6"/>
    <mergeCell ref="B5:C5"/>
    <mergeCell ref="O5:AA5"/>
    <mergeCell ref="AB13:AF13"/>
    <mergeCell ref="W21:Z21"/>
    <mergeCell ref="AB21:AE21"/>
    <mergeCell ref="AB20:AE20"/>
    <mergeCell ref="AB14:AE14"/>
    <mergeCell ref="AB15:AE15"/>
    <mergeCell ref="A12:AA12"/>
    <mergeCell ref="A20:B20"/>
    <mergeCell ref="AL22:AO22"/>
    <mergeCell ref="AG22:AJ22"/>
    <mergeCell ref="AB22:AE22"/>
    <mergeCell ref="W22:Z22"/>
    <mergeCell ref="AL14:AO14"/>
    <mergeCell ref="AL15:AO15"/>
    <mergeCell ref="AG18:AJ18"/>
    <mergeCell ref="AG19:AJ19"/>
    <mergeCell ref="AL17:AO17"/>
    <mergeCell ref="AL18:AO18"/>
    <mergeCell ref="AL19:AO19"/>
    <mergeCell ref="AL21:AO21"/>
    <mergeCell ref="AG21:AJ21"/>
    <mergeCell ref="AG20:AJ20"/>
    <mergeCell ref="AL20:AO20"/>
    <mergeCell ref="AB16:AE16"/>
    <mergeCell ref="AB17:AE17"/>
    <mergeCell ref="AB18:AE18"/>
    <mergeCell ref="AB19:AE19"/>
    <mergeCell ref="AL16:AO16"/>
    <mergeCell ref="W18:Z18"/>
    <mergeCell ref="W19:Z19"/>
    <mergeCell ref="AG14:AJ14"/>
    <mergeCell ref="AG15:AJ15"/>
  </mergeCells>
  <pageMargins left="0.511811024" right="0.511811024" top="0.78740157499999996" bottom="0.78740157499999996" header="0.31496062000000002" footer="0.31496062000000002"/>
  <pageSetup paperSize="9" scale="4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7"/>
  <sheetViews>
    <sheetView view="pageBreakPreview" zoomScale="115" zoomScaleSheetLayoutView="115" workbookViewId="0">
      <selection activeCell="E29" sqref="E29"/>
    </sheetView>
  </sheetViews>
  <sheetFormatPr defaultRowHeight="13.2" x14ac:dyDescent="0.25"/>
  <cols>
    <col min="1" max="1" width="5.44140625" customWidth="1"/>
    <col min="2" max="2" width="18.6640625" customWidth="1"/>
    <col min="3" max="3" width="33.44140625" customWidth="1"/>
    <col min="4" max="4" width="20.77734375" customWidth="1"/>
    <col min="5" max="5" width="20.6640625" customWidth="1"/>
    <col min="6" max="6" width="21.109375" customWidth="1"/>
    <col min="7" max="7" width="22.109375" customWidth="1"/>
    <col min="8" max="8" width="10.6640625" customWidth="1"/>
    <col min="9" max="9" width="14.77734375" customWidth="1"/>
    <col min="12" max="12" width="10.109375" bestFit="1" customWidth="1"/>
  </cols>
  <sheetData>
    <row r="1" spans="1:12" ht="39.75" customHeight="1" thickBot="1" x14ac:dyDescent="0.3">
      <c r="A1" s="653" t="s">
        <v>102</v>
      </c>
      <c r="B1" s="654"/>
      <c r="C1" s="654"/>
      <c r="D1" s="654"/>
      <c r="E1" s="654"/>
      <c r="F1" s="654"/>
      <c r="G1" s="654"/>
      <c r="H1" s="654"/>
      <c r="I1" s="655"/>
    </row>
    <row r="2" spans="1:12" ht="13.8" thickBot="1" x14ac:dyDescent="0.3">
      <c r="A2" s="21"/>
      <c r="B2" s="9"/>
      <c r="C2" s="10" t="s">
        <v>69</v>
      </c>
      <c r="D2" s="656" t="s">
        <v>70</v>
      </c>
      <c r="E2" s="656"/>
      <c r="F2" s="656"/>
      <c r="G2" s="659">
        <f>PLANILHA!P4</f>
        <v>0</v>
      </c>
      <c r="H2" s="660"/>
      <c r="I2" s="661"/>
    </row>
    <row r="3" spans="1:12" x14ac:dyDescent="0.25">
      <c r="A3" s="21"/>
      <c r="B3" s="9"/>
      <c r="C3" s="10" t="s">
        <v>71</v>
      </c>
      <c r="D3" s="656" t="s">
        <v>72</v>
      </c>
      <c r="E3" s="656"/>
      <c r="F3" s="9"/>
      <c r="G3" s="9"/>
      <c r="H3" s="9"/>
      <c r="I3" s="22"/>
      <c r="L3" s="20">
        <v>270476.19</v>
      </c>
    </row>
    <row r="4" spans="1:12" ht="12.75" customHeight="1" x14ac:dyDescent="0.25">
      <c r="A4" s="657" t="s">
        <v>73</v>
      </c>
      <c r="B4" s="656"/>
      <c r="C4" s="658" t="s">
        <v>94</v>
      </c>
      <c r="D4" s="656"/>
      <c r="E4" s="9"/>
      <c r="F4" s="9"/>
      <c r="G4" s="9"/>
      <c r="H4" s="9"/>
      <c r="I4" s="22"/>
    </row>
    <row r="5" spans="1:12" ht="12.75" customHeight="1" x14ac:dyDescent="0.25">
      <c r="A5" s="668" t="s">
        <v>74</v>
      </c>
      <c r="B5" s="669"/>
      <c r="C5" s="666" t="str">
        <f>PLANILHA!A6</f>
        <v>CONSTRUÇÃO DE OBRA DE ACESSIBILIDADE DAS VIAS DO ENTORNO DO TERMINAL RODOVIÁRIO DE BRASÍLIA DE MINAS/MG</v>
      </c>
      <c r="D5" s="666"/>
      <c r="E5" s="666"/>
      <c r="F5" s="666"/>
      <c r="G5" s="666"/>
      <c r="H5" s="666"/>
      <c r="I5" s="667"/>
      <c r="L5" s="20">
        <f>PLANILHA!S59</f>
        <v>109610.14</v>
      </c>
    </row>
    <row r="6" spans="1:12" x14ac:dyDescent="0.25">
      <c r="A6" s="670" t="s">
        <v>75</v>
      </c>
      <c r="B6" s="672" t="s">
        <v>76</v>
      </c>
      <c r="C6" s="673"/>
      <c r="D6" s="676" t="s">
        <v>77</v>
      </c>
      <c r="E6" s="677"/>
      <c r="F6" s="677"/>
      <c r="G6" s="678"/>
      <c r="H6" s="662" t="s">
        <v>78</v>
      </c>
      <c r="I6" s="664" t="s">
        <v>79</v>
      </c>
    </row>
    <row r="7" spans="1:12" x14ac:dyDescent="0.25">
      <c r="A7" s="671"/>
      <c r="B7" s="674"/>
      <c r="C7" s="675"/>
      <c r="D7" s="149" t="s">
        <v>80</v>
      </c>
      <c r="E7" s="11" t="s">
        <v>81</v>
      </c>
      <c r="F7" s="12" t="s">
        <v>82</v>
      </c>
      <c r="G7" s="13" t="s">
        <v>83</v>
      </c>
      <c r="H7" s="663"/>
      <c r="I7" s="665"/>
    </row>
    <row r="8" spans="1:12" ht="12.75" customHeight="1" x14ac:dyDescent="0.25">
      <c r="A8" s="23">
        <v>1</v>
      </c>
      <c r="B8" s="643" t="str">
        <f>CRONOGRAMA!C15</f>
        <v>SERVIÇOS PRELIMINARES</v>
      </c>
      <c r="C8" s="644"/>
      <c r="D8" s="40"/>
      <c r="E8" s="40">
        <f>CRONOGRAMA!H15</f>
        <v>1177.1099999999999</v>
      </c>
      <c r="F8" s="12" t="s">
        <v>87</v>
      </c>
      <c r="G8" s="40">
        <f>D8+E8</f>
        <v>1177.1099999999999</v>
      </c>
      <c r="H8" s="13" t="s">
        <v>84</v>
      </c>
      <c r="I8" s="24" t="s">
        <v>85</v>
      </c>
      <c r="L8">
        <v>0.04</v>
      </c>
    </row>
    <row r="9" spans="1:12" ht="12.75" customHeight="1" x14ac:dyDescent="0.25">
      <c r="A9" s="23">
        <v>2</v>
      </c>
      <c r="B9" s="643" t="str">
        <f>CRONOGRAMA!C16</f>
        <v>DEMOLIÇÃO- REMOÇÃO- REGULARIZAÇÃO</v>
      </c>
      <c r="C9" s="644"/>
      <c r="D9" s="40"/>
      <c r="E9" s="40">
        <f>CRONOGRAMA!H16</f>
        <v>4113.3</v>
      </c>
      <c r="F9" s="12" t="s">
        <v>87</v>
      </c>
      <c r="G9" s="40">
        <f>D9+E9</f>
        <v>4113.3</v>
      </c>
      <c r="H9" s="13" t="s">
        <v>84</v>
      </c>
      <c r="I9" s="24" t="s">
        <v>85</v>
      </c>
      <c r="L9">
        <v>0.96</v>
      </c>
    </row>
    <row r="10" spans="1:12" ht="12.75" customHeight="1" x14ac:dyDescent="0.25">
      <c r="A10" s="23">
        <v>3</v>
      </c>
      <c r="B10" s="643" t="str">
        <f>CRONOGRAMA!C17</f>
        <v>MEIO-FIO  E RAMPA DE ACESSIBILIDADE</v>
      </c>
      <c r="C10" s="644"/>
      <c r="D10" s="40"/>
      <c r="E10" s="40">
        <f>CRONOGRAMA!H17</f>
        <v>16343.43</v>
      </c>
      <c r="F10" s="12" t="s">
        <v>87</v>
      </c>
      <c r="G10" s="40">
        <f>D10+E10</f>
        <v>16343.43</v>
      </c>
      <c r="H10" s="13" t="s">
        <v>84</v>
      </c>
      <c r="I10" s="24" t="s">
        <v>85</v>
      </c>
      <c r="L10">
        <v>0.96</v>
      </c>
    </row>
    <row r="11" spans="1:12" ht="12.75" customHeight="1" x14ac:dyDescent="0.25">
      <c r="A11" s="23">
        <v>4</v>
      </c>
      <c r="B11" s="643" t="str">
        <f>CRONOGRAMA!C18</f>
        <v>PISO</v>
      </c>
      <c r="C11" s="644"/>
      <c r="D11" s="40"/>
      <c r="E11" s="40">
        <f>CRONOGRAMA!H18</f>
        <v>47859.770000000004</v>
      </c>
      <c r="F11" s="12" t="s">
        <v>87</v>
      </c>
      <c r="G11" s="40">
        <f t="shared" ref="G11:G18" si="0">D11+E11</f>
        <v>47859.770000000004</v>
      </c>
      <c r="H11" s="13" t="s">
        <v>84</v>
      </c>
      <c r="I11" s="24" t="s">
        <v>85</v>
      </c>
    </row>
    <row r="12" spans="1:12" ht="12.75" customHeight="1" x14ac:dyDescent="0.25">
      <c r="A12" s="23">
        <v>5</v>
      </c>
      <c r="B12" s="643" t="str">
        <f>CRONOGRAMA!C19</f>
        <v>ILUMINAÇÃO</v>
      </c>
      <c r="C12" s="644"/>
      <c r="D12" s="40"/>
      <c r="E12" s="40">
        <f>CRONOGRAMA!H19</f>
        <v>14573.239999999998</v>
      </c>
      <c r="F12" s="12" t="s">
        <v>87</v>
      </c>
      <c r="G12" s="40">
        <f t="shared" ref="G12:G13" si="1">D12+E12</f>
        <v>14573.239999999998</v>
      </c>
      <c r="H12" s="13" t="s">
        <v>84</v>
      </c>
      <c r="I12" s="24" t="s">
        <v>85</v>
      </c>
    </row>
    <row r="13" spans="1:12" ht="12.75" customHeight="1" x14ac:dyDescent="0.25">
      <c r="A13" s="23">
        <v>6</v>
      </c>
      <c r="B13" s="643" t="str">
        <f>PLANILHA!D37</f>
        <v>PAISAGISMO</v>
      </c>
      <c r="C13" s="644"/>
      <c r="D13" s="40"/>
      <c r="E13" s="40">
        <f>CRONOGRAMA!H20</f>
        <v>7629.0300000000007</v>
      </c>
      <c r="F13" s="12" t="s">
        <v>87</v>
      </c>
      <c r="G13" s="40">
        <f t="shared" si="1"/>
        <v>7629.0300000000007</v>
      </c>
      <c r="H13" s="13" t="s">
        <v>84</v>
      </c>
      <c r="I13" s="24" t="s">
        <v>85</v>
      </c>
    </row>
    <row r="14" spans="1:12" ht="12.75" customHeight="1" x14ac:dyDescent="0.25">
      <c r="A14" s="23">
        <v>7</v>
      </c>
      <c r="B14" s="643" t="str">
        <f>CRONOGRAMA!C21</f>
        <v>PAVIMENTAÇÃ E SINALIZAÇÃO DO ESTACIONAMENTO</v>
      </c>
      <c r="C14" s="644"/>
      <c r="D14" s="40"/>
      <c r="E14" s="40">
        <f>CRONOGRAMA!H21</f>
        <v>13446.45</v>
      </c>
      <c r="F14" s="12" t="s">
        <v>87</v>
      </c>
      <c r="G14" s="40">
        <f t="shared" si="0"/>
        <v>13446.45</v>
      </c>
      <c r="H14" s="13" t="s">
        <v>84</v>
      </c>
      <c r="I14" s="24" t="s">
        <v>85</v>
      </c>
    </row>
    <row r="15" spans="1:12" ht="12.75" customHeight="1" x14ac:dyDescent="0.25">
      <c r="A15" s="23">
        <v>8</v>
      </c>
      <c r="B15" s="643" t="str">
        <f>CRONOGRAMA!C22</f>
        <v>LIMPEZA DA OBRA</v>
      </c>
      <c r="C15" s="644"/>
      <c r="D15" s="40"/>
      <c r="E15" s="40">
        <f>CRONOGRAMA!H22</f>
        <v>4467.8100000000004</v>
      </c>
      <c r="F15" s="12" t="s">
        <v>87</v>
      </c>
      <c r="G15" s="40">
        <f t="shared" si="0"/>
        <v>4467.8100000000004</v>
      </c>
      <c r="H15" s="13" t="s">
        <v>84</v>
      </c>
      <c r="I15" s="24" t="s">
        <v>85</v>
      </c>
    </row>
    <row r="16" spans="1:12" ht="12.75" customHeight="1" x14ac:dyDescent="0.25">
      <c r="A16" s="23">
        <v>9</v>
      </c>
      <c r="B16" s="643" t="e">
        <f>CRONOGRAMA!#REF!</f>
        <v>#REF!</v>
      </c>
      <c r="C16" s="644"/>
      <c r="D16" s="40"/>
      <c r="E16" s="40" t="e">
        <f>CRONOGRAMA!#REF!</f>
        <v>#REF!</v>
      </c>
      <c r="F16" s="12" t="s">
        <v>87</v>
      </c>
      <c r="G16" s="40" t="e">
        <f t="shared" si="0"/>
        <v>#REF!</v>
      </c>
      <c r="H16" s="13" t="s">
        <v>84</v>
      </c>
      <c r="I16" s="24" t="s">
        <v>85</v>
      </c>
    </row>
    <row r="17" spans="1:9" ht="12.75" customHeight="1" x14ac:dyDescent="0.25">
      <c r="A17" s="23">
        <v>10</v>
      </c>
      <c r="B17" s="643" t="e">
        <f>CRONOGRAMA!#REF!</f>
        <v>#REF!</v>
      </c>
      <c r="C17" s="644"/>
      <c r="D17" s="40"/>
      <c r="E17" s="40" t="e">
        <f>CRONOGRAMA!#REF!</f>
        <v>#REF!</v>
      </c>
      <c r="F17" s="12" t="s">
        <v>87</v>
      </c>
      <c r="G17" s="40" t="e">
        <f t="shared" si="0"/>
        <v>#REF!</v>
      </c>
      <c r="H17" s="13" t="s">
        <v>84</v>
      </c>
      <c r="I17" s="24" t="s">
        <v>85</v>
      </c>
    </row>
    <row r="18" spans="1:9" ht="12.75" customHeight="1" x14ac:dyDescent="0.25">
      <c r="A18" s="23">
        <v>11</v>
      </c>
      <c r="B18" s="643" t="e">
        <f>CRONOGRAMA!#REF!</f>
        <v>#REF!</v>
      </c>
      <c r="C18" s="644"/>
      <c r="D18" s="40"/>
      <c r="E18" s="40" t="e">
        <f>CRONOGRAMA!#REF!</f>
        <v>#REF!</v>
      </c>
      <c r="F18" s="12" t="s">
        <v>87</v>
      </c>
      <c r="G18" s="40" t="e">
        <f t="shared" si="0"/>
        <v>#REF!</v>
      </c>
      <c r="H18" s="13" t="s">
        <v>84</v>
      </c>
      <c r="I18" s="24" t="s">
        <v>85</v>
      </c>
    </row>
    <row r="19" spans="1:9" ht="12.75" customHeight="1" x14ac:dyDescent="0.25">
      <c r="A19" s="25"/>
      <c r="B19" s="647" t="s">
        <v>86</v>
      </c>
      <c r="C19" s="648"/>
      <c r="D19" s="41"/>
      <c r="E19" s="40" t="e">
        <f>SUM(E8:E18)</f>
        <v>#REF!</v>
      </c>
      <c r="F19" s="12" t="s">
        <v>87</v>
      </c>
      <c r="G19" s="40" t="e">
        <f>SUM(G8:G18)</f>
        <v>#REF!</v>
      </c>
      <c r="H19" s="13" t="s">
        <v>84</v>
      </c>
      <c r="I19" s="24" t="s">
        <v>85</v>
      </c>
    </row>
    <row r="20" spans="1:9" ht="12.75" customHeight="1" x14ac:dyDescent="0.25">
      <c r="A20" s="25"/>
      <c r="B20" s="649" t="s">
        <v>115</v>
      </c>
      <c r="C20" s="648"/>
      <c r="D20" s="40"/>
      <c r="E20" s="40" t="e">
        <f>E19/120</f>
        <v>#REF!</v>
      </c>
      <c r="F20" s="12" t="s">
        <v>87</v>
      </c>
      <c r="G20" s="40" t="e">
        <f>G19/120</f>
        <v>#REF!</v>
      </c>
      <c r="H20" s="14"/>
      <c r="I20" s="26"/>
    </row>
    <row r="21" spans="1:9" x14ac:dyDescent="0.25">
      <c r="A21" s="650"/>
      <c r="B21" s="651"/>
      <c r="C21" s="651"/>
      <c r="D21" s="651"/>
      <c r="E21" s="651"/>
      <c r="F21" s="651"/>
      <c r="G21" s="651"/>
      <c r="H21" s="651"/>
      <c r="I21" s="652"/>
    </row>
    <row r="22" spans="1:9" ht="12.75" customHeight="1" x14ac:dyDescent="0.25">
      <c r="A22" s="52"/>
      <c r="I22" s="53"/>
    </row>
    <row r="23" spans="1:9" x14ac:dyDescent="0.25">
      <c r="A23" s="52"/>
      <c r="I23" s="53"/>
    </row>
    <row r="24" spans="1:9" ht="25.5" customHeight="1" x14ac:dyDescent="0.25">
      <c r="A24" s="52"/>
      <c r="C24" s="470" t="str">
        <f>PLANILHA!L65</f>
        <v>PREFEITURA MUNICIPAL DE BRASÍLIA DE MINAS - CNPJ 18.017.442/0001-06</v>
      </c>
      <c r="D24" s="470"/>
      <c r="E24" s="470"/>
      <c r="I24" s="53"/>
    </row>
    <row r="25" spans="1:9" ht="13.2" customHeight="1" x14ac:dyDescent="0.25">
      <c r="A25" s="51"/>
      <c r="B25" s="73"/>
      <c r="C25" s="470"/>
      <c r="D25" s="470"/>
      <c r="E25" s="470"/>
      <c r="F25" s="9"/>
      <c r="G25" s="9"/>
      <c r="H25" s="9"/>
      <c r="I25" s="22"/>
    </row>
    <row r="26" spans="1:9" x14ac:dyDescent="0.25">
      <c r="A26" s="52"/>
      <c r="I26" s="53"/>
    </row>
    <row r="27" spans="1:9" ht="13.8" thickBot="1" x14ac:dyDescent="0.3">
      <c r="A27" s="645" t="str">
        <f>PLANILHA!A61</f>
        <v>LOCAL E DATA: BRASILIA DE MINAS, JUNHO DE 2022</v>
      </c>
      <c r="B27" s="646"/>
      <c r="C27" s="646"/>
      <c r="D27" s="646"/>
      <c r="E27" s="54"/>
      <c r="F27" s="54"/>
      <c r="G27" s="54"/>
      <c r="H27" s="54"/>
      <c r="I27" s="55"/>
    </row>
  </sheetData>
  <mergeCells count="29">
    <mergeCell ref="H6:H7"/>
    <mergeCell ref="I6:I7"/>
    <mergeCell ref="C5:I5"/>
    <mergeCell ref="B9:C9"/>
    <mergeCell ref="B11:C11"/>
    <mergeCell ref="B10:C10"/>
    <mergeCell ref="B8:C8"/>
    <mergeCell ref="A5:B5"/>
    <mergeCell ref="A6:A7"/>
    <mergeCell ref="B6:C7"/>
    <mergeCell ref="D6:G6"/>
    <mergeCell ref="A1:I1"/>
    <mergeCell ref="D2:F2"/>
    <mergeCell ref="D3:E3"/>
    <mergeCell ref="A4:B4"/>
    <mergeCell ref="C4:D4"/>
    <mergeCell ref="G2:I2"/>
    <mergeCell ref="B12:C12"/>
    <mergeCell ref="B13:C13"/>
    <mergeCell ref="B18:C18"/>
    <mergeCell ref="A27:D27"/>
    <mergeCell ref="B19:C19"/>
    <mergeCell ref="B20:C20"/>
    <mergeCell ref="A21:I21"/>
    <mergeCell ref="B17:C17"/>
    <mergeCell ref="B15:C15"/>
    <mergeCell ref="B16:C16"/>
    <mergeCell ref="B14:C14"/>
    <mergeCell ref="C24:E25"/>
  </mergeCells>
  <pageMargins left="0.511811024" right="0.511811024" top="0.78740157499999996" bottom="0.78740157499999996" header="0.31496062000000002" footer="0.31496062000000002"/>
  <pageSetup paperSize="9" scale="9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B0AEB-738F-4D85-9BFA-637DA9179A13}">
  <sheetPr>
    <pageSetUpPr fitToPage="1"/>
  </sheetPr>
  <dimension ref="A1:G25"/>
  <sheetViews>
    <sheetView view="pageBreakPreview" zoomScaleNormal="100" zoomScaleSheetLayoutView="100" workbookViewId="0">
      <selection activeCell="H30" sqref="H30"/>
    </sheetView>
  </sheetViews>
  <sheetFormatPr defaultRowHeight="13.2" x14ac:dyDescent="0.25"/>
  <cols>
    <col min="2" max="2" width="36.109375" customWidth="1"/>
    <col min="3" max="3" width="12.6640625" customWidth="1"/>
    <col min="5" max="5" width="12.6640625" customWidth="1"/>
    <col min="6" max="6" width="17.6640625" customWidth="1"/>
    <col min="7" max="7" width="18.21875" customWidth="1"/>
  </cols>
  <sheetData>
    <row r="1" spans="1:7" ht="31.5" customHeight="1" x14ac:dyDescent="0.25">
      <c r="A1" s="695" t="s">
        <v>116</v>
      </c>
      <c r="B1" s="696"/>
      <c r="C1" s="696"/>
      <c r="D1" s="696"/>
      <c r="E1" s="696"/>
      <c r="F1" s="696"/>
      <c r="G1" s="696"/>
    </row>
    <row r="2" spans="1:7" x14ac:dyDescent="0.25">
      <c r="A2" s="697" t="s">
        <v>117</v>
      </c>
      <c r="B2" s="698"/>
      <c r="C2" s="698"/>
      <c r="D2" s="698"/>
      <c r="E2" s="699"/>
      <c r="F2" s="202" t="s">
        <v>118</v>
      </c>
      <c r="G2" s="203">
        <v>44652</v>
      </c>
    </row>
    <row r="3" spans="1:7" ht="13.2" customHeight="1" x14ac:dyDescent="0.25">
      <c r="A3" s="700" t="s">
        <v>169</v>
      </c>
      <c r="B3" s="701"/>
      <c r="C3" s="701"/>
      <c r="D3" s="701"/>
      <c r="E3" s="702"/>
      <c r="F3" s="204" t="s">
        <v>119</v>
      </c>
      <c r="G3" s="205" t="s">
        <v>170</v>
      </c>
    </row>
    <row r="4" spans="1:7" x14ac:dyDescent="0.25">
      <c r="A4" s="687" t="s">
        <v>120</v>
      </c>
      <c r="B4" s="688"/>
      <c r="C4" s="688"/>
      <c r="D4" s="688"/>
      <c r="E4" s="688"/>
      <c r="F4" s="688"/>
      <c r="G4" s="688"/>
    </row>
    <row r="5" spans="1:7" s="269" customFormat="1" x14ac:dyDescent="0.25">
      <c r="A5" s="687" t="s">
        <v>168</v>
      </c>
      <c r="B5" s="689"/>
      <c r="C5" s="267" t="s">
        <v>9</v>
      </c>
      <c r="D5" s="268" t="s">
        <v>121</v>
      </c>
      <c r="E5" s="268" t="s">
        <v>166</v>
      </c>
      <c r="F5" s="268" t="s">
        <v>167</v>
      </c>
      <c r="G5" s="268" t="s">
        <v>167</v>
      </c>
    </row>
    <row r="6" spans="1:7" ht="39" customHeight="1" x14ac:dyDescent="0.25">
      <c r="A6" s="685" t="str">
        <f>[2]EDIFICAÇÕES!$C$284</f>
        <v>ESCAVAÇÃO MANUAL DE VALA COM PROFUNDIDADE MENOR OU IGUAL A 1,5M</v>
      </c>
      <c r="B6" s="686"/>
      <c r="C6" s="207" t="str">
        <f>[2]EDIFICAÇÕES!$A$284</f>
        <v>ED-51107</v>
      </c>
      <c r="D6" s="206" t="s">
        <v>103</v>
      </c>
      <c r="E6" s="265">
        <v>0.4</v>
      </c>
      <c r="F6" s="276">
        <v>55.11</v>
      </c>
      <c r="G6" s="266">
        <f>ROUND(SUM(E6*F6),2)</f>
        <v>22.04</v>
      </c>
    </row>
    <row r="7" spans="1:7" ht="57.6" customHeight="1" x14ac:dyDescent="0.25">
      <c r="A7" s="685" t="str">
        <f>[2]EDIFICAÇÕES!$C$392</f>
        <v>FORNECIMENTO DE CONCRETO ESTRUTURAL, PREPARADO EM OBRA COM BETONEIRA, COM FCK 25 MPA, INCLUSIVE LANÇAMENTO, ADENSAMENTO E ACABAMENTO (FUNDAÇÃO)</v>
      </c>
      <c r="B7" s="686"/>
      <c r="C7" s="207" t="str">
        <f>[2]EDIFICAÇÕES!$A$392</f>
        <v>ED-49787</v>
      </c>
      <c r="D7" s="206" t="str">
        <f>[2]EDIFICAÇÕES!$D$392</f>
        <v>M3</v>
      </c>
      <c r="E7" s="265">
        <v>0.26</v>
      </c>
      <c r="F7" s="276">
        <v>594.47</v>
      </c>
      <c r="G7" s="266">
        <f t="shared" ref="G7:G8" si="0">ROUND(SUM(E7*F7),2)</f>
        <v>154.56</v>
      </c>
    </row>
    <row r="8" spans="1:7" ht="44.4" customHeight="1" x14ac:dyDescent="0.25">
      <c r="A8" s="685" t="str">
        <f>[2]EDIFICAÇÕES!$C$2865</f>
        <v>LANÇAMENTO E ESPALHAMENTO DE SOLO OU MATERIAL DE DEMOLIÇÃO EM ÁREA DE PASSEIO EXCLUSIVE APILOAMENTO</v>
      </c>
      <c r="B8" s="686"/>
      <c r="C8" s="207" t="str">
        <f>[2]EDIFICAÇÕES!$A$2865</f>
        <v>ED-51147</v>
      </c>
      <c r="D8" s="206" t="str">
        <f>[2]EDIFICAÇÕES!$D$392</f>
        <v>M3</v>
      </c>
      <c r="E8" s="265">
        <v>0.4</v>
      </c>
      <c r="F8" s="276">
        <v>18.64</v>
      </c>
      <c r="G8" s="266">
        <f t="shared" si="0"/>
        <v>7.46</v>
      </c>
    </row>
    <row r="9" spans="1:7" x14ac:dyDescent="0.25">
      <c r="A9" s="692" t="s">
        <v>122</v>
      </c>
      <c r="B9" s="693"/>
      <c r="C9" s="693"/>
      <c r="D9" s="693"/>
      <c r="E9" s="693"/>
      <c r="F9" s="694"/>
      <c r="G9" s="208">
        <f>SUM(G6+G7+G8)</f>
        <v>184.06</v>
      </c>
    </row>
    <row r="10" spans="1:7" x14ac:dyDescent="0.25">
      <c r="A10" s="687" t="s">
        <v>123</v>
      </c>
      <c r="B10" s="688"/>
      <c r="C10" s="688"/>
      <c r="D10" s="688"/>
      <c r="E10" s="688"/>
      <c r="F10" s="688"/>
      <c r="G10" s="688"/>
    </row>
    <row r="11" spans="1:7" s="269" customFormat="1" x14ac:dyDescent="0.25">
      <c r="A11" s="687" t="s">
        <v>168</v>
      </c>
      <c r="B11" s="689"/>
      <c r="C11" s="267" t="s">
        <v>9</v>
      </c>
      <c r="D11" s="268" t="s">
        <v>121</v>
      </c>
      <c r="E11" s="268" t="s">
        <v>166</v>
      </c>
      <c r="F11" s="268" t="s">
        <v>167</v>
      </c>
      <c r="G11" s="268" t="s">
        <v>167</v>
      </c>
    </row>
    <row r="12" spans="1:7" ht="39" customHeight="1" x14ac:dyDescent="0.25">
      <c r="A12" s="685" t="str">
        <f>[2]EDIFICAÇÕES!$C$3173</f>
        <v>PEDREIRO COM ENCARGOS COMPLEMENTARES</v>
      </c>
      <c r="B12" s="686"/>
      <c r="C12" s="207" t="str">
        <f>[2]EDIFICAÇÕES!$A$3173</f>
        <v>ED-50381</v>
      </c>
      <c r="D12" s="206" t="s">
        <v>139</v>
      </c>
      <c r="E12" s="265">
        <v>1.056</v>
      </c>
      <c r="F12" s="276">
        <v>22.37</v>
      </c>
      <c r="G12" s="266">
        <f>ROUND(SUM(E12*F12),2)</f>
        <v>23.62</v>
      </c>
    </row>
    <row r="13" spans="1:7" x14ac:dyDescent="0.25">
      <c r="A13" s="685" t="str">
        <f>[2]EDIFICAÇÕES!$C$3180</f>
        <v>SERVENTE COM ENCARGOS COMPLEMENTARES</v>
      </c>
      <c r="B13" s="686"/>
      <c r="C13" s="207" t="str">
        <f>[2]EDIFICAÇÕES!$A$3180</f>
        <v>ED-50367</v>
      </c>
      <c r="D13" s="206" t="s">
        <v>139</v>
      </c>
      <c r="E13" s="265">
        <v>1.056</v>
      </c>
      <c r="F13" s="276">
        <v>16.21</v>
      </c>
      <c r="G13" s="266">
        <f>ROUND(SUM(E13*F13),2)</f>
        <v>17.12</v>
      </c>
    </row>
    <row r="14" spans="1:7" x14ac:dyDescent="0.25">
      <c r="A14" s="692" t="s">
        <v>122</v>
      </c>
      <c r="B14" s="693"/>
      <c r="C14" s="693"/>
      <c r="D14" s="693"/>
      <c r="E14" s="693"/>
      <c r="F14" s="694"/>
      <c r="G14" s="208">
        <f>SUM(G12+G13)</f>
        <v>40.74</v>
      </c>
    </row>
    <row r="15" spans="1:7" x14ac:dyDescent="0.25">
      <c r="A15" s="690" t="s">
        <v>124</v>
      </c>
      <c r="B15" s="691"/>
      <c r="C15" s="209">
        <v>1</v>
      </c>
      <c r="D15" s="272" t="s">
        <v>125</v>
      </c>
      <c r="E15" s="273"/>
      <c r="F15" s="273"/>
      <c r="G15" s="210">
        <f>G14+G9</f>
        <v>224.8</v>
      </c>
    </row>
    <row r="16" spans="1:7" x14ac:dyDescent="0.25">
      <c r="A16" s="274" t="s">
        <v>126</v>
      </c>
      <c r="B16" s="275"/>
      <c r="C16" s="275"/>
      <c r="D16" s="275"/>
      <c r="E16" s="275"/>
      <c r="F16" s="275"/>
      <c r="G16" s="211">
        <f>G15/C15</f>
        <v>224.8</v>
      </c>
    </row>
    <row r="17" spans="1:7" x14ac:dyDescent="0.25">
      <c r="A17" s="274" t="s">
        <v>127</v>
      </c>
      <c r="B17" s="275"/>
      <c r="C17" s="275"/>
      <c r="D17" s="275"/>
      <c r="E17" s="275"/>
      <c r="F17" s="275"/>
      <c r="G17" s="211">
        <v>1</v>
      </c>
    </row>
    <row r="18" spans="1:7" x14ac:dyDescent="0.25">
      <c r="A18" s="270" t="s">
        <v>128</v>
      </c>
      <c r="B18" s="271"/>
      <c r="C18" s="271"/>
      <c r="D18" s="271"/>
      <c r="E18" s="271"/>
      <c r="F18" s="271"/>
      <c r="G18" s="277">
        <f>G16*G17</f>
        <v>224.8</v>
      </c>
    </row>
    <row r="19" spans="1:7" x14ac:dyDescent="0.25">
      <c r="A19" s="212"/>
      <c r="B19" s="213"/>
      <c r="C19" s="213"/>
      <c r="D19" s="213"/>
      <c r="E19" s="213"/>
      <c r="F19" s="213"/>
      <c r="G19" s="214"/>
    </row>
    <row r="20" spans="1:7" ht="63" customHeight="1" x14ac:dyDescent="0.25">
      <c r="A20" s="683" t="s">
        <v>129</v>
      </c>
      <c r="B20" s="680"/>
      <c r="C20" s="680"/>
      <c r="D20" s="680"/>
      <c r="E20" s="684" t="s">
        <v>171</v>
      </c>
      <c r="F20" s="684"/>
      <c r="G20" s="684"/>
    </row>
    <row r="21" spans="1:7" x14ac:dyDescent="0.25">
      <c r="A21" s="679" t="s">
        <v>130</v>
      </c>
      <c r="B21" s="680"/>
      <c r="C21" s="680"/>
      <c r="D21" s="680"/>
      <c r="E21" s="285" t="str">
        <f>[3]PLANILHA!H91</f>
        <v>PREFEITURA MUNICIPAL DE BRASILIA DE MINAS</v>
      </c>
      <c r="F21" s="285"/>
      <c r="G21" s="285"/>
    </row>
    <row r="22" spans="1:7" x14ac:dyDescent="0.25">
      <c r="A22" s="679" t="s">
        <v>131</v>
      </c>
      <c r="B22" s="680"/>
      <c r="C22" s="680"/>
      <c r="D22" s="680"/>
      <c r="E22" s="213"/>
      <c r="F22" s="285"/>
      <c r="G22" s="285"/>
    </row>
    <row r="23" spans="1:7" x14ac:dyDescent="0.25">
      <c r="A23" s="212"/>
      <c r="B23" s="213"/>
      <c r="C23" s="213"/>
      <c r="D23" s="213"/>
      <c r="E23" s="213"/>
      <c r="F23" s="213"/>
      <c r="G23" s="213"/>
    </row>
    <row r="24" spans="1:7" x14ac:dyDescent="0.25">
      <c r="A24" s="212"/>
      <c r="B24" s="213"/>
      <c r="C24" s="213"/>
      <c r="D24" s="213"/>
      <c r="E24" s="213"/>
      <c r="F24" s="213"/>
      <c r="G24" s="213"/>
    </row>
    <row r="25" spans="1:7" ht="13.8" thickBot="1" x14ac:dyDescent="0.3">
      <c r="A25" s="681" t="str">
        <f>PLANILHA!A61</f>
        <v>LOCAL E DATA: BRASILIA DE MINAS, JUNHO DE 2022</v>
      </c>
      <c r="B25" s="682"/>
      <c r="C25" s="682"/>
      <c r="D25" s="682"/>
      <c r="E25" s="682"/>
      <c r="F25" s="682"/>
      <c r="G25" s="682"/>
    </row>
  </sheetData>
  <mergeCells count="20">
    <mergeCell ref="A1:G1"/>
    <mergeCell ref="A4:G4"/>
    <mergeCell ref="A5:B5"/>
    <mergeCell ref="A2:E2"/>
    <mergeCell ref="A3:E3"/>
    <mergeCell ref="A6:B6"/>
    <mergeCell ref="A7:B7"/>
    <mergeCell ref="A8:B8"/>
    <mergeCell ref="A12:B12"/>
    <mergeCell ref="A9:F9"/>
    <mergeCell ref="A13:B13"/>
    <mergeCell ref="A10:G10"/>
    <mergeCell ref="A11:B11"/>
    <mergeCell ref="A15:B15"/>
    <mergeCell ref="A14:F14"/>
    <mergeCell ref="A22:D22"/>
    <mergeCell ref="A25:G25"/>
    <mergeCell ref="A20:D20"/>
    <mergeCell ref="A21:D21"/>
    <mergeCell ref="E20:G20"/>
  </mergeCells>
  <pageMargins left="0.511811024" right="0.511811024" top="0.78740157499999996" bottom="0.78740157499999996" header="0.31496062000000002" footer="0.31496062000000002"/>
  <pageSetup paperSize="9" scale="8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C8F89-E070-427A-B0BA-0528EBED87B5}">
  <dimension ref="A1:F10"/>
  <sheetViews>
    <sheetView workbookViewId="0">
      <selection activeCell="B5" sqref="B5"/>
    </sheetView>
  </sheetViews>
  <sheetFormatPr defaultRowHeight="13.2" x14ac:dyDescent="0.25"/>
  <cols>
    <col min="2" max="2" width="33.109375" customWidth="1"/>
    <col min="3" max="3" width="17.21875" customWidth="1"/>
    <col min="4" max="4" width="13.6640625" customWidth="1"/>
    <col min="5" max="5" width="17" customWidth="1"/>
    <col min="6" max="6" width="11.77734375" customWidth="1"/>
  </cols>
  <sheetData>
    <row r="1" spans="1:6" x14ac:dyDescent="0.25">
      <c r="A1" s="710" t="s">
        <v>223</v>
      </c>
      <c r="B1" s="711"/>
      <c r="C1" s="711"/>
      <c r="D1" s="711"/>
      <c r="E1" s="711"/>
      <c r="F1" s="712"/>
    </row>
    <row r="2" spans="1:6" ht="13.8" thickBot="1" x14ac:dyDescent="0.3">
      <c r="A2" s="713"/>
      <c r="B2" s="714"/>
      <c r="C2" s="714"/>
      <c r="D2" s="714"/>
      <c r="E2" s="714"/>
      <c r="F2" s="715"/>
    </row>
    <row r="3" spans="1:6" x14ac:dyDescent="0.25">
      <c r="A3" s="716" t="s">
        <v>8</v>
      </c>
      <c r="B3" s="716" t="s">
        <v>224</v>
      </c>
      <c r="C3" s="718" t="s">
        <v>225</v>
      </c>
      <c r="D3" s="719"/>
      <c r="E3" s="719"/>
      <c r="F3" s="720" t="s">
        <v>226</v>
      </c>
    </row>
    <row r="4" spans="1:6" ht="66.599999999999994" thickBot="1" x14ac:dyDescent="0.3">
      <c r="A4" s="717"/>
      <c r="B4" s="717"/>
      <c r="C4" s="281" t="s">
        <v>228</v>
      </c>
      <c r="D4" s="281" t="s">
        <v>229</v>
      </c>
      <c r="E4" s="281" t="s">
        <v>230</v>
      </c>
      <c r="F4" s="721"/>
    </row>
    <row r="5" spans="1:6" ht="41.4" customHeight="1" x14ac:dyDescent="0.25">
      <c r="A5" s="282">
        <v>1</v>
      </c>
      <c r="B5" s="283" t="s">
        <v>227</v>
      </c>
      <c r="C5" s="284">
        <v>618.4</v>
      </c>
      <c r="D5" s="284">
        <v>568.91999999999996</v>
      </c>
      <c r="E5" s="284">
        <v>529.42999999999995</v>
      </c>
      <c r="F5" s="286">
        <f>AVERAGE(C5,E5,D5)</f>
        <v>572.25</v>
      </c>
    </row>
    <row r="6" spans="1:6" x14ac:dyDescent="0.25">
      <c r="A6" s="52"/>
      <c r="F6" s="53"/>
    </row>
    <row r="7" spans="1:6" x14ac:dyDescent="0.25">
      <c r="A7" s="52"/>
      <c r="F7" s="53"/>
    </row>
    <row r="8" spans="1:6" x14ac:dyDescent="0.25">
      <c r="A8" s="683" t="s">
        <v>234</v>
      </c>
      <c r="B8" s="684"/>
      <c r="C8" s="285"/>
      <c r="D8" s="707" t="s">
        <v>233</v>
      </c>
      <c r="E8" s="708"/>
      <c r="F8" s="709"/>
    </row>
    <row r="9" spans="1:6" x14ac:dyDescent="0.25">
      <c r="A9" s="679" t="s">
        <v>130</v>
      </c>
      <c r="B9" s="680"/>
      <c r="C9" s="285"/>
      <c r="D9" s="705" t="s">
        <v>92</v>
      </c>
      <c r="E9" s="680"/>
      <c r="F9" s="706"/>
    </row>
    <row r="10" spans="1:6" ht="13.8" thickBot="1" x14ac:dyDescent="0.3">
      <c r="A10" s="681" t="s">
        <v>131</v>
      </c>
      <c r="B10" s="682"/>
      <c r="C10" s="287"/>
      <c r="D10" s="703" t="s">
        <v>232</v>
      </c>
      <c r="E10" s="682"/>
      <c r="F10" s="704"/>
    </row>
  </sheetData>
  <mergeCells count="11">
    <mergeCell ref="A1:F2"/>
    <mergeCell ref="A3:A4"/>
    <mergeCell ref="B3:B4"/>
    <mergeCell ref="C3:E3"/>
    <mergeCell ref="F3:F4"/>
    <mergeCell ref="D10:F10"/>
    <mergeCell ref="A8:B8"/>
    <mergeCell ref="A9:B9"/>
    <mergeCell ref="A10:B10"/>
    <mergeCell ref="D9:F9"/>
    <mergeCell ref="D8:F8"/>
  </mergeCells>
  <pageMargins left="0.511811024" right="0.511811024" top="0.78740157499999996" bottom="0.78740157499999996" header="0.31496062000000002" footer="0.31496062000000002"/>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38FED-1E14-4E8B-B152-6D5020C8A662}">
  <dimension ref="A1:F10"/>
  <sheetViews>
    <sheetView workbookViewId="0">
      <selection activeCell="J7" sqref="J7"/>
    </sheetView>
  </sheetViews>
  <sheetFormatPr defaultRowHeight="13.2" x14ac:dyDescent="0.25"/>
  <cols>
    <col min="2" max="2" width="33.109375" customWidth="1"/>
    <col min="3" max="3" width="17.21875" customWidth="1"/>
    <col min="4" max="4" width="16" customWidth="1"/>
    <col min="5" max="5" width="18.44140625" customWidth="1"/>
    <col min="6" max="6" width="11.77734375" customWidth="1"/>
  </cols>
  <sheetData>
    <row r="1" spans="1:6" x14ac:dyDescent="0.25">
      <c r="A1" s="710" t="s">
        <v>223</v>
      </c>
      <c r="B1" s="711"/>
      <c r="C1" s="711"/>
      <c r="D1" s="711"/>
      <c r="E1" s="711"/>
      <c r="F1" s="712"/>
    </row>
    <row r="2" spans="1:6" ht="13.8" thickBot="1" x14ac:dyDescent="0.3">
      <c r="A2" s="713"/>
      <c r="B2" s="714"/>
      <c r="C2" s="714"/>
      <c r="D2" s="714"/>
      <c r="E2" s="714"/>
      <c r="F2" s="715"/>
    </row>
    <row r="3" spans="1:6" x14ac:dyDescent="0.25">
      <c r="A3" s="716" t="s">
        <v>8</v>
      </c>
      <c r="B3" s="716" t="s">
        <v>224</v>
      </c>
      <c r="C3" s="718" t="s">
        <v>225</v>
      </c>
      <c r="D3" s="719"/>
      <c r="E3" s="719"/>
      <c r="F3" s="720" t="s">
        <v>226</v>
      </c>
    </row>
    <row r="4" spans="1:6" ht="53.4" thickBot="1" x14ac:dyDescent="0.3">
      <c r="A4" s="717"/>
      <c r="B4" s="717"/>
      <c r="C4" s="281" t="s">
        <v>239</v>
      </c>
      <c r="D4" s="281" t="s">
        <v>240</v>
      </c>
      <c r="E4" s="281" t="s">
        <v>241</v>
      </c>
      <c r="F4" s="721"/>
    </row>
    <row r="5" spans="1:6" ht="41.4" customHeight="1" x14ac:dyDescent="0.25">
      <c r="A5" s="282">
        <v>1</v>
      </c>
      <c r="B5" s="283" t="str">
        <f>PLANILHA!D41</f>
        <v>MUDA DE ÁRVORE CIPRESTE ITALIANO (DEDO DE DEUS)</v>
      </c>
      <c r="C5" s="284">
        <v>522.4</v>
      </c>
      <c r="D5" s="284">
        <v>613.6</v>
      </c>
      <c r="E5" s="284">
        <v>466.75</v>
      </c>
      <c r="F5" s="286">
        <f>AVERAGE(C5,E5,D5)</f>
        <v>534.25</v>
      </c>
    </row>
    <row r="6" spans="1:6" x14ac:dyDescent="0.25">
      <c r="A6" s="52"/>
      <c r="F6" s="53"/>
    </row>
    <row r="7" spans="1:6" x14ac:dyDescent="0.25">
      <c r="A7" s="52"/>
      <c r="F7" s="53"/>
    </row>
    <row r="8" spans="1:6" x14ac:dyDescent="0.25">
      <c r="A8" s="683" t="s">
        <v>234</v>
      </c>
      <c r="B8" s="684"/>
      <c r="C8" s="285"/>
      <c r="D8" s="707" t="s">
        <v>233</v>
      </c>
      <c r="E8" s="708"/>
      <c r="F8" s="709"/>
    </row>
    <row r="9" spans="1:6" x14ac:dyDescent="0.25">
      <c r="A9" s="679" t="s">
        <v>130</v>
      </c>
      <c r="B9" s="680"/>
      <c r="C9" s="285"/>
      <c r="D9" s="705" t="s">
        <v>92</v>
      </c>
      <c r="E9" s="680"/>
      <c r="F9" s="706"/>
    </row>
    <row r="10" spans="1:6" ht="13.8" thickBot="1" x14ac:dyDescent="0.3">
      <c r="A10" s="681" t="s">
        <v>131</v>
      </c>
      <c r="B10" s="682"/>
      <c r="C10" s="287"/>
      <c r="D10" s="703" t="s">
        <v>232</v>
      </c>
      <c r="E10" s="682"/>
      <c r="F10" s="704"/>
    </row>
  </sheetData>
  <mergeCells count="11">
    <mergeCell ref="A9:B9"/>
    <mergeCell ref="D9:F9"/>
    <mergeCell ref="A10:B10"/>
    <mergeCell ref="D10:F10"/>
    <mergeCell ref="A1:F2"/>
    <mergeCell ref="A3:A4"/>
    <mergeCell ref="B3:B4"/>
    <mergeCell ref="C3:E3"/>
    <mergeCell ref="F3:F4"/>
    <mergeCell ref="A8:B8"/>
    <mergeCell ref="D8:F8"/>
  </mergeCells>
  <pageMargins left="0.511811024" right="0.511811024" top="0.78740157499999996" bottom="0.78740157499999996" header="0.31496062000000002" footer="0.31496062000000002"/>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2579A-5E3B-4185-9B91-76FE930E44F0}">
  <sheetPr>
    <pageSetUpPr fitToPage="1"/>
  </sheetPr>
  <dimension ref="A1:J59"/>
  <sheetViews>
    <sheetView topLeftCell="A28" workbookViewId="0">
      <selection activeCell="J63" sqref="J63"/>
    </sheetView>
  </sheetViews>
  <sheetFormatPr defaultRowHeight="13.2" x14ac:dyDescent="0.25"/>
  <cols>
    <col min="1" max="1" width="23.33203125" customWidth="1"/>
    <col min="9" max="9" width="7.44140625" customWidth="1"/>
  </cols>
  <sheetData>
    <row r="1" spans="1:10" ht="17.399999999999999" x14ac:dyDescent="0.35">
      <c r="A1" s="722" t="s">
        <v>244</v>
      </c>
      <c r="B1" s="722"/>
      <c r="C1" s="722"/>
      <c r="D1" s="722"/>
      <c r="E1" s="722"/>
      <c r="F1" s="722"/>
      <c r="G1" s="722"/>
      <c r="H1" s="722"/>
      <c r="I1" s="722"/>
      <c r="J1" s="722"/>
    </row>
    <row r="2" spans="1:10" x14ac:dyDescent="0.25">
      <c r="A2" s="756"/>
      <c r="B2" s="757"/>
      <c r="C2" s="757"/>
      <c r="D2" s="757"/>
      <c r="E2" s="757"/>
      <c r="F2" s="757"/>
      <c r="G2" s="757"/>
      <c r="H2" s="757"/>
      <c r="I2" s="757"/>
      <c r="J2" s="758"/>
    </row>
    <row r="3" spans="1:10" ht="18.600000000000001" x14ac:dyDescent="0.25">
      <c r="A3" s="723" t="s">
        <v>245</v>
      </c>
      <c r="B3" s="723"/>
      <c r="C3" s="723"/>
      <c r="D3" s="723"/>
      <c r="E3" s="723"/>
      <c r="F3" s="723"/>
      <c r="G3" s="723"/>
      <c r="H3" s="723"/>
      <c r="I3" s="723"/>
      <c r="J3" s="723"/>
    </row>
    <row r="4" spans="1:10" x14ac:dyDescent="0.25">
      <c r="A4" s="724" t="s">
        <v>246</v>
      </c>
      <c r="B4" s="724" t="s">
        <v>247</v>
      </c>
      <c r="C4" s="724" t="s">
        <v>248</v>
      </c>
      <c r="D4" s="724"/>
      <c r="E4" s="724"/>
      <c r="F4" s="724"/>
      <c r="G4" s="724"/>
      <c r="H4" s="724"/>
      <c r="I4" s="724"/>
      <c r="J4" s="724" t="s">
        <v>249</v>
      </c>
    </row>
    <row r="5" spans="1:10" x14ac:dyDescent="0.25">
      <c r="A5" s="724"/>
      <c r="B5" s="724"/>
      <c r="C5" s="724" t="s">
        <v>250</v>
      </c>
      <c r="D5" s="724"/>
      <c r="E5" s="724"/>
      <c r="F5" s="724"/>
      <c r="G5" s="724" t="s">
        <v>251</v>
      </c>
      <c r="H5" s="724"/>
      <c r="I5" s="724"/>
      <c r="J5" s="724"/>
    </row>
    <row r="6" spans="1:10" ht="21.6" x14ac:dyDescent="0.25">
      <c r="A6" s="724"/>
      <c r="B6" s="724"/>
      <c r="C6" s="725">
        <v>0.02</v>
      </c>
      <c r="D6" s="725">
        <v>0.03</v>
      </c>
      <c r="E6" s="725">
        <v>0.04</v>
      </c>
      <c r="F6" s="725">
        <v>0.05</v>
      </c>
      <c r="G6" s="726" t="s">
        <v>252</v>
      </c>
      <c r="H6" s="724" t="s">
        <v>253</v>
      </c>
      <c r="I6" s="724"/>
      <c r="J6" s="724"/>
    </row>
    <row r="7" spans="1:10" ht="20.399999999999999" x14ac:dyDescent="0.25">
      <c r="A7" s="727" t="s">
        <v>254</v>
      </c>
      <c r="B7" s="728" t="s">
        <v>255</v>
      </c>
      <c r="C7" s="729">
        <v>1</v>
      </c>
      <c r="D7" s="729">
        <v>1</v>
      </c>
      <c r="E7" s="729">
        <v>1</v>
      </c>
      <c r="F7" s="729">
        <v>1</v>
      </c>
      <c r="G7" s="729">
        <v>1</v>
      </c>
      <c r="H7" s="730">
        <v>1</v>
      </c>
      <c r="I7" s="730"/>
      <c r="J7" s="731"/>
    </row>
    <row r="8" spans="1:10" ht="30.6" x14ac:dyDescent="0.25">
      <c r="A8" s="727" t="s">
        <v>256</v>
      </c>
      <c r="B8" s="728" t="s">
        <v>257</v>
      </c>
      <c r="C8" s="732">
        <v>5.5E-2</v>
      </c>
      <c r="D8" s="732">
        <v>5.5E-2</v>
      </c>
      <c r="E8" s="732">
        <v>5.5E-2</v>
      </c>
      <c r="F8" s="732">
        <v>5.5E-2</v>
      </c>
      <c r="G8" s="733">
        <v>3.4199999999999994E-2</v>
      </c>
      <c r="H8" s="734">
        <v>0.04</v>
      </c>
      <c r="I8" s="734"/>
      <c r="J8" s="731" t="s">
        <v>255</v>
      </c>
    </row>
    <row r="9" spans="1:10" ht="20.399999999999999" x14ac:dyDescent="0.25">
      <c r="A9" s="727" t="s">
        <v>258</v>
      </c>
      <c r="B9" s="728" t="s">
        <v>259</v>
      </c>
      <c r="C9" s="732">
        <v>7.4999999999999997E-2</v>
      </c>
      <c r="D9" s="732">
        <v>7.4999999999999997E-2</v>
      </c>
      <c r="E9" s="732">
        <v>7.4999999999999997E-2</v>
      </c>
      <c r="F9" s="732">
        <v>7.4999999999999997E-2</v>
      </c>
      <c r="G9" s="735">
        <v>4.9399999999999999E-2</v>
      </c>
      <c r="H9" s="736">
        <v>6.1600000000000002E-2</v>
      </c>
      <c r="I9" s="736"/>
      <c r="J9" s="731" t="s">
        <v>255</v>
      </c>
    </row>
    <row r="10" spans="1:10" ht="30.6" x14ac:dyDescent="0.25">
      <c r="A10" s="727" t="s">
        <v>260</v>
      </c>
      <c r="B10" s="728" t="s">
        <v>261</v>
      </c>
      <c r="C10" s="732">
        <v>8.3700000000000007E-3</v>
      </c>
      <c r="D10" s="732">
        <v>8.3700000000000007E-3</v>
      </c>
      <c r="E10" s="732">
        <v>8.3700000000000007E-3</v>
      </c>
      <c r="F10" s="732">
        <v>8.3700000000000007E-3</v>
      </c>
      <c r="G10" s="732">
        <v>8.3700000000000007E-3</v>
      </c>
      <c r="H10" s="737">
        <v>8.3700000000000007E-3</v>
      </c>
      <c r="I10" s="737"/>
      <c r="J10" s="731" t="s">
        <v>255</v>
      </c>
    </row>
    <row r="11" spans="1:10" ht="30.6" x14ac:dyDescent="0.25">
      <c r="A11" s="727" t="s">
        <v>262</v>
      </c>
      <c r="B11" s="738"/>
      <c r="C11" s="739">
        <f>SUM(C12:C13)</f>
        <v>2.2699999999999998E-2</v>
      </c>
      <c r="D11" s="739">
        <f>SUM(D12:D13)</f>
        <v>2.2699999999999998E-2</v>
      </c>
      <c r="E11" s="739">
        <f>SUM(E12:E13)</f>
        <v>2.2699999999999998E-2</v>
      </c>
      <c r="F11" s="739">
        <f>SUM(F12:F13)</f>
        <v>2.2699999999999998E-2</v>
      </c>
      <c r="G11" s="739">
        <f>SUM(G12:G13)</f>
        <v>1.29E-2</v>
      </c>
      <c r="H11" s="740">
        <f>SUM(H12:I13)</f>
        <v>1.77E-2</v>
      </c>
      <c r="I11" s="740"/>
      <c r="J11" s="741" t="s">
        <v>255</v>
      </c>
    </row>
    <row r="12" spans="1:10" ht="40.799999999999997" x14ac:dyDescent="0.25">
      <c r="A12" s="727" t="s">
        <v>263</v>
      </c>
      <c r="B12" s="728" t="s">
        <v>264</v>
      </c>
      <c r="C12" s="732">
        <v>0.01</v>
      </c>
      <c r="D12" s="732">
        <v>0.01</v>
      </c>
      <c r="E12" s="732">
        <v>0.01</v>
      </c>
      <c r="F12" s="732">
        <v>0.01</v>
      </c>
      <c r="G12" s="733">
        <v>5.3E-3</v>
      </c>
      <c r="H12" s="734">
        <v>8.0000000000000002E-3</v>
      </c>
      <c r="I12" s="734"/>
      <c r="J12" s="731" t="s">
        <v>255</v>
      </c>
    </row>
    <row r="13" spans="1:10" x14ac:dyDescent="0.25">
      <c r="A13" s="727" t="s">
        <v>265</v>
      </c>
      <c r="B13" s="728" t="s">
        <v>266</v>
      </c>
      <c r="C13" s="732">
        <v>1.2699999999999999E-2</v>
      </c>
      <c r="D13" s="732">
        <v>1.2699999999999999E-2</v>
      </c>
      <c r="E13" s="732">
        <v>1.2699999999999999E-2</v>
      </c>
      <c r="F13" s="732">
        <v>1.2699999999999999E-2</v>
      </c>
      <c r="G13" s="733">
        <v>7.6E-3</v>
      </c>
      <c r="H13" s="734">
        <v>9.7000000000000003E-3</v>
      </c>
      <c r="I13" s="734"/>
      <c r="J13" s="731" t="s">
        <v>255</v>
      </c>
    </row>
    <row r="14" spans="1:10" x14ac:dyDescent="0.25">
      <c r="A14" s="727" t="s">
        <v>267</v>
      </c>
      <c r="B14" s="728" t="s">
        <v>268</v>
      </c>
      <c r="C14" s="739">
        <f>SUM(C15:C17)</f>
        <v>4.65E-2</v>
      </c>
      <c r="D14" s="739">
        <f>SUM(D15:D17)</f>
        <v>5.1499999999999997E-2</v>
      </c>
      <c r="E14" s="739">
        <f>SUM(E15:E17)</f>
        <v>5.6499999999999995E-2</v>
      </c>
      <c r="F14" s="739">
        <f>SUM(F15:F17)</f>
        <v>6.1499999999999999E-2</v>
      </c>
      <c r="G14" s="739">
        <f>SUM(G15:G17)</f>
        <v>3.6499999999999998E-2</v>
      </c>
      <c r="H14" s="740">
        <f>SUM(H15:I17)</f>
        <v>6.1499999999999999E-2</v>
      </c>
      <c r="I14" s="740"/>
      <c r="J14" s="741" t="s">
        <v>269</v>
      </c>
    </row>
    <row r="15" spans="1:10" x14ac:dyDescent="0.25">
      <c r="A15" s="727" t="s">
        <v>270</v>
      </c>
      <c r="B15" s="738" t="s">
        <v>271</v>
      </c>
      <c r="C15" s="742">
        <v>0.01</v>
      </c>
      <c r="D15" s="742">
        <v>1.4999999999999999E-2</v>
      </c>
      <c r="E15" s="742">
        <v>0.02</v>
      </c>
      <c r="F15" s="742">
        <v>2.5000000000000001E-2</v>
      </c>
      <c r="G15" s="742" t="s">
        <v>65</v>
      </c>
      <c r="H15" s="743">
        <v>2.5000000000000001E-2</v>
      </c>
      <c r="I15" s="743"/>
      <c r="J15" s="731" t="s">
        <v>269</v>
      </c>
    </row>
    <row r="16" spans="1:10" x14ac:dyDescent="0.25">
      <c r="A16" s="727" t="s">
        <v>272</v>
      </c>
      <c r="B16" s="738" t="s">
        <v>272</v>
      </c>
      <c r="C16" s="732">
        <v>6.4999999999999997E-3</v>
      </c>
      <c r="D16" s="732">
        <v>6.4999999999999997E-3</v>
      </c>
      <c r="E16" s="732">
        <v>6.4999999999999997E-3</v>
      </c>
      <c r="F16" s="732">
        <v>6.4999999999999997E-3</v>
      </c>
      <c r="G16" s="732">
        <v>6.4999999999999997E-3</v>
      </c>
      <c r="H16" s="737">
        <v>6.4999999999999997E-3</v>
      </c>
      <c r="I16" s="737"/>
      <c r="J16" s="731" t="s">
        <v>269</v>
      </c>
    </row>
    <row r="17" spans="1:10" x14ac:dyDescent="0.25">
      <c r="A17" s="727" t="s">
        <v>273</v>
      </c>
      <c r="B17" s="738" t="s">
        <v>65</v>
      </c>
      <c r="C17" s="732">
        <v>0.03</v>
      </c>
      <c r="D17" s="732">
        <v>0.03</v>
      </c>
      <c r="E17" s="732">
        <v>0.03</v>
      </c>
      <c r="F17" s="732">
        <v>0.03</v>
      </c>
      <c r="G17" s="732">
        <v>0.03</v>
      </c>
      <c r="H17" s="737">
        <v>0.03</v>
      </c>
      <c r="I17" s="737"/>
      <c r="J17" s="731" t="s">
        <v>269</v>
      </c>
    </row>
    <row r="18" spans="1:10" x14ac:dyDescent="0.25">
      <c r="A18" s="727" t="s">
        <v>274</v>
      </c>
      <c r="B18" s="738" t="s">
        <v>275</v>
      </c>
      <c r="C18" s="744">
        <v>4.4999999999999998E-2</v>
      </c>
      <c r="D18" s="744">
        <v>4.4999999999999998E-2</v>
      </c>
      <c r="E18" s="744">
        <v>4.4999999999999998E-2</v>
      </c>
      <c r="F18" s="744">
        <v>4.4999999999999998E-2</v>
      </c>
      <c r="G18" s="744">
        <v>4.4999999999999998E-2</v>
      </c>
      <c r="H18" s="745">
        <v>4.4999999999999998E-2</v>
      </c>
      <c r="I18" s="745"/>
      <c r="J18" s="731" t="s">
        <v>269</v>
      </c>
    </row>
    <row r="19" spans="1:10" x14ac:dyDescent="0.25">
      <c r="A19" s="746"/>
      <c r="B19" s="746"/>
      <c r="C19" s="746"/>
      <c r="D19" s="746"/>
      <c r="E19" s="746"/>
      <c r="F19" s="746"/>
      <c r="G19" s="746"/>
      <c r="H19" s="746"/>
      <c r="I19" s="746"/>
      <c r="J19" s="746"/>
    </row>
    <row r="20" spans="1:10" x14ac:dyDescent="0.25">
      <c r="A20" s="747" t="s">
        <v>276</v>
      </c>
      <c r="B20" s="747"/>
      <c r="C20" s="748" t="s">
        <v>277</v>
      </c>
      <c r="D20" s="748"/>
      <c r="E20" s="748"/>
      <c r="F20" s="748"/>
      <c r="G20" s="748"/>
      <c r="H20" s="748"/>
      <c r="I20" s="748"/>
      <c r="J20" s="748"/>
    </row>
    <row r="21" spans="1:10" ht="18.600000000000001" customHeight="1" x14ac:dyDescent="0.25">
      <c r="A21" s="747"/>
      <c r="B21" s="747"/>
      <c r="C21" s="749" t="s">
        <v>278</v>
      </c>
      <c r="D21" s="749"/>
      <c r="E21" s="749"/>
      <c r="F21" s="749"/>
      <c r="G21" s="749"/>
      <c r="H21" s="749"/>
      <c r="I21" s="749"/>
      <c r="J21" s="749"/>
    </row>
    <row r="22" spans="1:10" x14ac:dyDescent="0.25">
      <c r="A22" s="750" t="s">
        <v>279</v>
      </c>
      <c r="B22" s="750"/>
      <c r="C22" s="751">
        <f t="shared" ref="C22:H22" si="0">(1+(C8+C11))*(1+C10)*(1+C9)-1</f>
        <v>0.16822437517500011</v>
      </c>
      <c r="D22" s="751">
        <f t="shared" si="0"/>
        <v>0.16822437517500011</v>
      </c>
      <c r="E22" s="751">
        <f t="shared" si="0"/>
        <v>0.16822437517500011</v>
      </c>
      <c r="F22" s="751">
        <f t="shared" si="0"/>
        <v>0.16822437517500011</v>
      </c>
      <c r="G22" s="751">
        <f t="shared" si="0"/>
        <v>0.10802391981379977</v>
      </c>
      <c r="H22" s="752">
        <f t="shared" si="0"/>
        <v>0.1322526106584001</v>
      </c>
      <c r="I22" s="752"/>
      <c r="J22" s="753"/>
    </row>
    <row r="23" spans="1:10" x14ac:dyDescent="0.25">
      <c r="A23" s="750" t="s">
        <v>280</v>
      </c>
      <c r="B23" s="750"/>
      <c r="C23" s="751">
        <f t="shared" ref="C23:H23" si="1">(1-(C14+C18))</f>
        <v>0.90849999999999997</v>
      </c>
      <c r="D23" s="751">
        <f t="shared" si="1"/>
        <v>0.90349999999999997</v>
      </c>
      <c r="E23" s="751">
        <f t="shared" si="1"/>
        <v>0.89849999999999997</v>
      </c>
      <c r="F23" s="751">
        <f t="shared" si="1"/>
        <v>0.89349999999999996</v>
      </c>
      <c r="G23" s="751">
        <f t="shared" si="1"/>
        <v>0.91849999999999998</v>
      </c>
      <c r="H23" s="752">
        <f t="shared" si="1"/>
        <v>0.89349999999999996</v>
      </c>
      <c r="I23" s="752"/>
      <c r="J23" s="753"/>
    </row>
    <row r="24" spans="1:10" x14ac:dyDescent="0.25">
      <c r="A24" s="754" t="s">
        <v>281</v>
      </c>
      <c r="B24" s="754"/>
      <c r="C24" s="754">
        <f t="shared" ref="C24:H24" si="2">(1+C22)/C23-1</f>
        <v>0.28588263640616418</v>
      </c>
      <c r="D24" s="754">
        <f t="shared" si="2"/>
        <v>0.29299875503597139</v>
      </c>
      <c r="E24" s="754">
        <f t="shared" si="2"/>
        <v>0.30019407365052886</v>
      </c>
      <c r="F24" s="754">
        <f t="shared" si="2"/>
        <v>0.30746992185226651</v>
      </c>
      <c r="G24" s="754">
        <f t="shared" si="2"/>
        <v>0.2063406856982033</v>
      </c>
      <c r="H24" s="754">
        <f t="shared" si="2"/>
        <v>0.26721053235411318</v>
      </c>
      <c r="I24" s="754"/>
      <c r="J24" s="753"/>
    </row>
    <row r="25" spans="1:10" x14ac:dyDescent="0.25">
      <c r="A25" s="754"/>
      <c r="B25" s="754"/>
      <c r="C25" s="754"/>
      <c r="D25" s="754"/>
      <c r="E25" s="754"/>
      <c r="F25" s="754"/>
      <c r="G25" s="754"/>
      <c r="H25" s="754"/>
      <c r="I25" s="754"/>
      <c r="J25" s="753"/>
    </row>
    <row r="26" spans="1:10" x14ac:dyDescent="0.25">
      <c r="A26" s="749" t="s">
        <v>282</v>
      </c>
      <c r="B26" s="749"/>
      <c r="C26" s="749"/>
      <c r="D26" s="749"/>
      <c r="E26" s="749"/>
      <c r="F26" s="749"/>
      <c r="G26" s="749"/>
      <c r="H26" s="749"/>
      <c r="I26" s="749"/>
      <c r="J26" s="749"/>
    </row>
    <row r="27" spans="1:10" ht="87.6" customHeight="1" x14ac:dyDescent="0.25">
      <c r="A27" s="755" t="s">
        <v>283</v>
      </c>
      <c r="B27" s="755"/>
      <c r="C27" s="755"/>
      <c r="D27" s="755"/>
      <c r="E27" s="755"/>
      <c r="F27" s="755"/>
      <c r="G27" s="755"/>
      <c r="H27" s="755"/>
      <c r="I27" s="755"/>
      <c r="J27" s="755"/>
    </row>
    <row r="28" spans="1:10" ht="17.399999999999999" x14ac:dyDescent="0.35">
      <c r="A28" s="722" t="s">
        <v>284</v>
      </c>
      <c r="B28" s="722"/>
      <c r="C28" s="722"/>
      <c r="D28" s="722"/>
      <c r="E28" s="722"/>
      <c r="F28" s="722"/>
      <c r="G28" s="722"/>
      <c r="H28" s="722"/>
      <c r="I28" s="722"/>
      <c r="J28" s="722"/>
    </row>
    <row r="29" spans="1:10" x14ac:dyDescent="0.25">
      <c r="A29" s="756"/>
      <c r="B29" s="757"/>
      <c r="C29" s="757"/>
      <c r="D29" s="757"/>
      <c r="E29" s="757"/>
      <c r="F29" s="757"/>
      <c r="G29" s="757"/>
      <c r="H29" s="757"/>
      <c r="I29" s="757"/>
      <c r="J29" s="758"/>
    </row>
    <row r="30" spans="1:10" ht="18.600000000000001" x14ac:dyDescent="0.25">
      <c r="A30" s="723" t="s">
        <v>245</v>
      </c>
      <c r="B30" s="723"/>
      <c r="C30" s="723"/>
      <c r="D30" s="723"/>
      <c r="E30" s="723"/>
      <c r="F30" s="723"/>
      <c r="G30" s="723"/>
      <c r="H30" s="723"/>
      <c r="I30" s="723"/>
      <c r="J30" s="723"/>
    </row>
    <row r="31" spans="1:10" x14ac:dyDescent="0.25">
      <c r="A31" s="759" t="s">
        <v>246</v>
      </c>
      <c r="B31" s="759" t="s">
        <v>247</v>
      </c>
      <c r="C31" s="760" t="s">
        <v>285</v>
      </c>
      <c r="D31" s="760"/>
      <c r="E31" s="760"/>
      <c r="F31" s="760"/>
      <c r="G31" s="760"/>
      <c r="H31" s="760"/>
      <c r="I31" s="760"/>
      <c r="J31" s="759" t="s">
        <v>286</v>
      </c>
    </row>
    <row r="32" spans="1:10" x14ac:dyDescent="0.25">
      <c r="A32" s="759"/>
      <c r="B32" s="760"/>
      <c r="C32" s="760" t="s">
        <v>250</v>
      </c>
      <c r="D32" s="760"/>
      <c r="E32" s="760"/>
      <c r="F32" s="760"/>
      <c r="G32" s="760" t="s">
        <v>251</v>
      </c>
      <c r="H32" s="760"/>
      <c r="I32" s="760"/>
      <c r="J32" s="759"/>
    </row>
    <row r="33" spans="1:10" ht="52.2" x14ac:dyDescent="0.25">
      <c r="A33" s="759"/>
      <c r="B33" s="760"/>
      <c r="C33" s="761">
        <v>0.02</v>
      </c>
      <c r="D33" s="761">
        <v>0.03</v>
      </c>
      <c r="E33" s="761">
        <v>0.04</v>
      </c>
      <c r="F33" s="761">
        <v>0.05</v>
      </c>
      <c r="G33" s="762" t="s">
        <v>287</v>
      </c>
      <c r="H33" s="762" t="s">
        <v>288</v>
      </c>
      <c r="I33" s="762" t="s">
        <v>289</v>
      </c>
      <c r="J33" s="759"/>
    </row>
    <row r="34" spans="1:10" x14ac:dyDescent="0.25">
      <c r="A34" s="727" t="s">
        <v>254</v>
      </c>
      <c r="B34" s="728" t="s">
        <v>255</v>
      </c>
      <c r="C34" s="729">
        <v>1</v>
      </c>
      <c r="D34" s="729">
        <v>1</v>
      </c>
      <c r="E34" s="729">
        <v>1</v>
      </c>
      <c r="F34" s="729">
        <v>1</v>
      </c>
      <c r="G34" s="729">
        <v>1</v>
      </c>
      <c r="H34" s="729">
        <v>1</v>
      </c>
      <c r="I34" s="729">
        <v>1</v>
      </c>
      <c r="J34" s="731"/>
    </row>
    <row r="35" spans="1:10" x14ac:dyDescent="0.25">
      <c r="A35" s="727" t="s">
        <v>256</v>
      </c>
      <c r="B35" s="728" t="s">
        <v>257</v>
      </c>
      <c r="C35" s="732">
        <v>4.6699999999999998E-2</v>
      </c>
      <c r="D35" s="732">
        <v>4.6699999999999998E-2</v>
      </c>
      <c r="E35" s="732">
        <v>4.6699999999999998E-2</v>
      </c>
      <c r="F35" s="732">
        <v>4.6699999999999998E-2</v>
      </c>
      <c r="G35" s="733">
        <v>3.4200000000000001E-2</v>
      </c>
      <c r="H35" s="733">
        <v>4.0099999999999997E-2</v>
      </c>
      <c r="I35" s="733">
        <v>3.4200000000000001E-2</v>
      </c>
      <c r="J35" s="731" t="s">
        <v>255</v>
      </c>
    </row>
    <row r="36" spans="1:10" x14ac:dyDescent="0.25">
      <c r="A36" s="727" t="s">
        <v>258</v>
      </c>
      <c r="B36" s="728" t="s">
        <v>259</v>
      </c>
      <c r="C36" s="732">
        <v>7.5299999999999992E-2</v>
      </c>
      <c r="D36" s="732">
        <v>7.5299999999999992E-2</v>
      </c>
      <c r="E36" s="732">
        <v>7.5299999999999992E-2</v>
      </c>
      <c r="F36" s="732">
        <v>7.5299999999999992E-2</v>
      </c>
      <c r="G36" s="735">
        <v>4.9399999999999999E-2</v>
      </c>
      <c r="H36" s="733">
        <v>6.6400000000000001E-2</v>
      </c>
      <c r="I36" s="735">
        <v>4.9399999999999999E-2</v>
      </c>
      <c r="J36" s="731" t="s">
        <v>255</v>
      </c>
    </row>
    <row r="37" spans="1:10" x14ac:dyDescent="0.25">
      <c r="A37" s="727" t="s">
        <v>260</v>
      </c>
      <c r="B37" s="728" t="s">
        <v>261</v>
      </c>
      <c r="C37" s="732">
        <v>8.3700000000000007E-3</v>
      </c>
      <c r="D37" s="732">
        <v>8.3700000000000007E-3</v>
      </c>
      <c r="E37" s="732">
        <v>8.3700000000000007E-3</v>
      </c>
      <c r="F37" s="732">
        <v>8.3700000000000007E-3</v>
      </c>
      <c r="G37" s="733">
        <v>8.3700000000000007E-3</v>
      </c>
      <c r="H37" s="733">
        <v>8.3700000000000007E-3</v>
      </c>
      <c r="I37" s="733">
        <v>8.3700000000000007E-3</v>
      </c>
      <c r="J37" s="731" t="s">
        <v>255</v>
      </c>
    </row>
    <row r="38" spans="1:10" ht="20.399999999999999" x14ac:dyDescent="0.25">
      <c r="A38" s="727" t="s">
        <v>262</v>
      </c>
      <c r="B38" s="738"/>
      <c r="C38" s="739">
        <f>SUM(C39:C40)</f>
        <v>1.7100000000000001E-2</v>
      </c>
      <c r="D38" s="739">
        <f t="shared" ref="D38:I38" si="3">SUM(D39:D40)</f>
        <v>1.7100000000000001E-2</v>
      </c>
      <c r="E38" s="739">
        <f t="shared" si="3"/>
        <v>1.7100000000000001E-2</v>
      </c>
      <c r="F38" s="739">
        <f t="shared" si="3"/>
        <v>1.7100000000000001E-2</v>
      </c>
      <c r="G38" s="739">
        <f t="shared" si="3"/>
        <v>1.29E-2</v>
      </c>
      <c r="H38" s="739">
        <f t="shared" si="3"/>
        <v>8.2000000000000007E-3</v>
      </c>
      <c r="I38" s="739">
        <f t="shared" si="3"/>
        <v>1.29E-2</v>
      </c>
      <c r="J38" s="741" t="s">
        <v>255</v>
      </c>
    </row>
    <row r="39" spans="1:10" x14ac:dyDescent="0.25">
      <c r="A39" s="727" t="s">
        <v>263</v>
      </c>
      <c r="B39" s="728" t="s">
        <v>264</v>
      </c>
      <c r="C39" s="732">
        <v>7.4000000000000003E-3</v>
      </c>
      <c r="D39" s="732">
        <v>7.4000000000000003E-3</v>
      </c>
      <c r="E39" s="732">
        <v>7.4000000000000003E-3</v>
      </c>
      <c r="F39" s="732">
        <v>7.4000000000000003E-3</v>
      </c>
      <c r="G39" s="733">
        <v>5.3E-3</v>
      </c>
      <c r="H39" s="733">
        <v>3.2000000000000002E-3</v>
      </c>
      <c r="I39" s="733">
        <v>5.3E-3</v>
      </c>
      <c r="J39" s="731" t="s">
        <v>255</v>
      </c>
    </row>
    <row r="40" spans="1:10" x14ac:dyDescent="0.25">
      <c r="A40" s="727" t="s">
        <v>265</v>
      </c>
      <c r="B40" s="728" t="s">
        <v>266</v>
      </c>
      <c r="C40" s="732">
        <v>9.7000000000000003E-3</v>
      </c>
      <c r="D40" s="732">
        <v>9.7000000000000003E-3</v>
      </c>
      <c r="E40" s="732">
        <v>9.7000000000000003E-3</v>
      </c>
      <c r="F40" s="732">
        <v>9.7000000000000003E-3</v>
      </c>
      <c r="G40" s="733">
        <v>7.6E-3</v>
      </c>
      <c r="H40" s="733">
        <v>5.0000000000000001E-3</v>
      </c>
      <c r="I40" s="733">
        <v>7.6E-3</v>
      </c>
      <c r="J40" s="731" t="s">
        <v>255</v>
      </c>
    </row>
    <row r="41" spans="1:10" x14ac:dyDescent="0.25">
      <c r="A41" s="727" t="s">
        <v>267</v>
      </c>
      <c r="B41" s="728" t="s">
        <v>268</v>
      </c>
      <c r="C41" s="739">
        <f t="shared" ref="C41:I41" si="4">SUM(C42:C44)</f>
        <v>5.0499999999999996E-2</v>
      </c>
      <c r="D41" s="739">
        <f t="shared" si="4"/>
        <v>5.7499999999999996E-2</v>
      </c>
      <c r="E41" s="739">
        <f t="shared" si="4"/>
        <v>6.4500000000000002E-2</v>
      </c>
      <c r="F41" s="739">
        <f t="shared" si="4"/>
        <v>7.1499999999999994E-2</v>
      </c>
      <c r="G41" s="739">
        <f t="shared" si="4"/>
        <v>3.6499999999999998E-2</v>
      </c>
      <c r="H41" s="739">
        <f t="shared" si="4"/>
        <v>6.1499999999999999E-2</v>
      </c>
      <c r="I41" s="739">
        <f t="shared" si="4"/>
        <v>6.1499999999999999E-2</v>
      </c>
      <c r="J41" s="741" t="s">
        <v>269</v>
      </c>
    </row>
    <row r="42" spans="1:10" x14ac:dyDescent="0.25">
      <c r="A42" s="727" t="s">
        <v>270</v>
      </c>
      <c r="B42" s="738" t="s">
        <v>271</v>
      </c>
      <c r="C42" s="763">
        <v>1.3999999999999999E-2</v>
      </c>
      <c r="D42" s="763">
        <v>2.0999999999999998E-2</v>
      </c>
      <c r="E42" s="763">
        <v>2.7999999999999997E-2</v>
      </c>
      <c r="F42" s="763">
        <v>3.4999999999999996E-2</v>
      </c>
      <c r="G42" s="763" t="s">
        <v>65</v>
      </c>
      <c r="H42" s="763">
        <v>2.5000000000000001E-2</v>
      </c>
      <c r="I42" s="763">
        <v>2.5000000000000001E-2</v>
      </c>
      <c r="J42" s="731" t="s">
        <v>269</v>
      </c>
    </row>
    <row r="43" spans="1:10" x14ac:dyDescent="0.25">
      <c r="A43" s="727" t="s">
        <v>272</v>
      </c>
      <c r="B43" s="738" t="s">
        <v>272</v>
      </c>
      <c r="C43" s="732">
        <v>6.4999999999999997E-3</v>
      </c>
      <c r="D43" s="732">
        <v>6.4999999999999997E-3</v>
      </c>
      <c r="E43" s="732">
        <v>6.4999999999999997E-3</v>
      </c>
      <c r="F43" s="732">
        <v>6.4999999999999997E-3</v>
      </c>
      <c r="G43" s="732">
        <v>6.4999999999999997E-3</v>
      </c>
      <c r="H43" s="732">
        <v>6.4999999999999997E-3</v>
      </c>
      <c r="I43" s="732">
        <v>6.4999999999999997E-3</v>
      </c>
      <c r="J43" s="731" t="s">
        <v>269</v>
      </c>
    </row>
    <row r="44" spans="1:10" x14ac:dyDescent="0.25">
      <c r="A44" s="727" t="s">
        <v>273</v>
      </c>
      <c r="B44" s="738" t="s">
        <v>65</v>
      </c>
      <c r="C44" s="732">
        <v>0.03</v>
      </c>
      <c r="D44" s="732">
        <v>0.03</v>
      </c>
      <c r="E44" s="732">
        <v>0.03</v>
      </c>
      <c r="F44" s="732">
        <v>0.03</v>
      </c>
      <c r="G44" s="732">
        <v>0.03</v>
      </c>
      <c r="H44" s="732">
        <v>0.03</v>
      </c>
      <c r="I44" s="732">
        <v>0.03</v>
      </c>
      <c r="J44" s="731" t="s">
        <v>269</v>
      </c>
    </row>
    <row r="45" spans="1:10" x14ac:dyDescent="0.25">
      <c r="A45" s="727" t="s">
        <v>274</v>
      </c>
      <c r="B45" s="738" t="s">
        <v>275</v>
      </c>
      <c r="C45" s="744">
        <v>4.4999999999999998E-2</v>
      </c>
      <c r="D45" s="744">
        <v>4.4999999999999998E-2</v>
      </c>
      <c r="E45" s="744">
        <v>4.4999999999999998E-2</v>
      </c>
      <c r="F45" s="744">
        <v>4.4999999999999998E-2</v>
      </c>
      <c r="G45" s="744">
        <v>4.4999999999999998E-2</v>
      </c>
      <c r="H45" s="744">
        <v>4.4999999999999998E-2</v>
      </c>
      <c r="I45" s="744">
        <v>4.4999999999999998E-2</v>
      </c>
      <c r="J45" s="731" t="s">
        <v>269</v>
      </c>
    </row>
    <row r="46" spans="1:10" x14ac:dyDescent="0.25">
      <c r="A46" s="746"/>
      <c r="B46" s="746"/>
      <c r="C46" s="746"/>
      <c r="D46" s="746"/>
      <c r="E46" s="746"/>
      <c r="F46" s="746"/>
      <c r="G46" s="746"/>
      <c r="H46" s="746"/>
      <c r="I46" s="746"/>
      <c r="J46" s="746"/>
    </row>
    <row r="47" spans="1:10" x14ac:dyDescent="0.25">
      <c r="A47" s="747" t="s">
        <v>276</v>
      </c>
      <c r="B47" s="747"/>
      <c r="C47" s="748" t="s">
        <v>277</v>
      </c>
      <c r="D47" s="748"/>
      <c r="E47" s="748"/>
      <c r="F47" s="748"/>
      <c r="G47" s="748"/>
      <c r="H47" s="748"/>
      <c r="I47" s="748"/>
      <c r="J47" s="748"/>
    </row>
    <row r="48" spans="1:10" x14ac:dyDescent="0.25">
      <c r="A48" s="747"/>
      <c r="B48" s="747"/>
      <c r="C48" s="749" t="s">
        <v>278</v>
      </c>
      <c r="D48" s="749"/>
      <c r="E48" s="749"/>
      <c r="F48" s="749"/>
      <c r="G48" s="749"/>
      <c r="H48" s="749"/>
      <c r="I48" s="749"/>
      <c r="J48" s="749"/>
    </row>
    <row r="49" spans="1:10" x14ac:dyDescent="0.25">
      <c r="A49" s="750" t="s">
        <v>279</v>
      </c>
      <c r="B49" s="750"/>
      <c r="C49" s="751">
        <f>(1+(C35+C38))*(1+C37)*(1+C36)-1</f>
        <v>0.15347861765180015</v>
      </c>
      <c r="D49" s="751">
        <f t="shared" ref="D49:I49" si="5">(1+(D35+D38))*(1+D37)*(1+D36)-1</f>
        <v>0.15347861765180015</v>
      </c>
      <c r="E49" s="751">
        <f t="shared" si="5"/>
        <v>0.15347861765180015</v>
      </c>
      <c r="F49" s="751">
        <f t="shared" si="5"/>
        <v>0.15347861765180015</v>
      </c>
      <c r="G49" s="751">
        <f t="shared" si="5"/>
        <v>0.10802391981379977</v>
      </c>
      <c r="H49" s="751">
        <f t="shared" si="5"/>
        <v>0.12726400259440007</v>
      </c>
      <c r="I49" s="751">
        <f t="shared" si="5"/>
        <v>0.10802391981379977</v>
      </c>
      <c r="J49" s="753"/>
    </row>
    <row r="50" spans="1:10" x14ac:dyDescent="0.25">
      <c r="A50" s="750" t="s">
        <v>280</v>
      </c>
      <c r="B50" s="750"/>
      <c r="C50" s="751">
        <f>(1-(C41+C45))</f>
        <v>0.90449999999999997</v>
      </c>
      <c r="D50" s="751">
        <f t="shared" ref="D50:I50" si="6">(1-(D41+D45))</f>
        <v>0.89749999999999996</v>
      </c>
      <c r="E50" s="751">
        <f t="shared" si="6"/>
        <v>0.89049999999999996</v>
      </c>
      <c r="F50" s="751">
        <f t="shared" si="6"/>
        <v>0.88349999999999995</v>
      </c>
      <c r="G50" s="751">
        <f t="shared" si="6"/>
        <v>0.91849999999999998</v>
      </c>
      <c r="H50" s="751">
        <f t="shared" si="6"/>
        <v>0.89349999999999996</v>
      </c>
      <c r="I50" s="751">
        <f t="shared" si="6"/>
        <v>0.89349999999999996</v>
      </c>
      <c r="J50" s="753"/>
    </row>
    <row r="51" spans="1:10" x14ac:dyDescent="0.25">
      <c r="A51" s="764" t="s">
        <v>281</v>
      </c>
      <c r="B51" s="764"/>
      <c r="C51" s="764">
        <f>(1+C49)/C50-1</f>
        <v>0.27526657562388079</v>
      </c>
      <c r="D51" s="764">
        <f t="shared" ref="D51:I51" si="7">(1+D49)/D50-1</f>
        <v>0.28521294445883028</v>
      </c>
      <c r="E51" s="764">
        <f t="shared" si="7"/>
        <v>0.29531568517888851</v>
      </c>
      <c r="F51" s="764">
        <f t="shared" si="7"/>
        <v>0.30557851460305629</v>
      </c>
      <c r="G51" s="764">
        <f t="shared" si="7"/>
        <v>0.2063406856982033</v>
      </c>
      <c r="H51" s="764">
        <f t="shared" si="7"/>
        <v>0.26162731124163408</v>
      </c>
      <c r="I51" s="764">
        <f t="shared" si="7"/>
        <v>0.24009392256720741</v>
      </c>
      <c r="J51" s="753"/>
    </row>
    <row r="52" spans="1:10" x14ac:dyDescent="0.25">
      <c r="A52" s="764"/>
      <c r="B52" s="764"/>
      <c r="C52" s="764"/>
      <c r="D52" s="764"/>
      <c r="E52" s="764"/>
      <c r="F52" s="764"/>
      <c r="G52" s="764"/>
      <c r="H52" s="764"/>
      <c r="I52" s="764"/>
      <c r="J52" s="753"/>
    </row>
    <row r="53" spans="1:10" x14ac:dyDescent="0.25">
      <c r="A53" s="749" t="s">
        <v>282</v>
      </c>
      <c r="B53" s="749"/>
      <c r="C53" s="749"/>
      <c r="D53" s="749"/>
      <c r="E53" s="749"/>
      <c r="F53" s="749"/>
      <c r="G53" s="749"/>
      <c r="H53" s="749"/>
      <c r="I53" s="749"/>
      <c r="J53" s="749"/>
    </row>
    <row r="54" spans="1:10" ht="75.599999999999994" customHeight="1" x14ac:dyDescent="0.25">
      <c r="A54" s="765" t="s">
        <v>290</v>
      </c>
      <c r="B54" s="765"/>
      <c r="C54" s="765"/>
      <c r="D54" s="765"/>
      <c r="E54" s="765"/>
      <c r="F54" s="765"/>
      <c r="G54" s="765"/>
      <c r="H54" s="765"/>
      <c r="I54" s="765"/>
      <c r="J54" s="765"/>
    </row>
    <row r="59" spans="1:10" x14ac:dyDescent="0.25">
      <c r="B59" s="781" t="s">
        <v>294</v>
      </c>
      <c r="C59" s="781"/>
      <c r="D59" s="781"/>
      <c r="E59" s="781"/>
      <c r="F59" s="781"/>
      <c r="G59" s="781"/>
    </row>
  </sheetData>
  <mergeCells count="67">
    <mergeCell ref="A53:J53"/>
    <mergeCell ref="A54:J54"/>
    <mergeCell ref="A29:J29"/>
    <mergeCell ref="B59:G59"/>
    <mergeCell ref="D51:D52"/>
    <mergeCell ref="E51:E52"/>
    <mergeCell ref="F51:F52"/>
    <mergeCell ref="G51:G52"/>
    <mergeCell ref="H51:H52"/>
    <mergeCell ref="I51:I52"/>
    <mergeCell ref="G32:I32"/>
    <mergeCell ref="A46:J46"/>
    <mergeCell ref="A47:B48"/>
    <mergeCell ref="C47:J47"/>
    <mergeCell ref="C48:J48"/>
    <mergeCell ref="A49:B49"/>
    <mergeCell ref="J49:J52"/>
    <mergeCell ref="A50:B50"/>
    <mergeCell ref="A51:B52"/>
    <mergeCell ref="C51:C52"/>
    <mergeCell ref="A26:J26"/>
    <mergeCell ref="A27:J27"/>
    <mergeCell ref="A2:J2"/>
    <mergeCell ref="A28:J28"/>
    <mergeCell ref="A30:J30"/>
    <mergeCell ref="A31:A33"/>
    <mergeCell ref="B31:B33"/>
    <mergeCell ref="C31:I31"/>
    <mergeCell ref="J31:J33"/>
    <mergeCell ref="C32:F32"/>
    <mergeCell ref="C24:C25"/>
    <mergeCell ref="D24:D25"/>
    <mergeCell ref="E24:E25"/>
    <mergeCell ref="F24:F25"/>
    <mergeCell ref="G24:G25"/>
    <mergeCell ref="H24:I25"/>
    <mergeCell ref="A19:J19"/>
    <mergeCell ref="A20:B21"/>
    <mergeCell ref="C20:J20"/>
    <mergeCell ref="C21:J21"/>
    <mergeCell ref="A22:B22"/>
    <mergeCell ref="H22:I22"/>
    <mergeCell ref="J22:J25"/>
    <mergeCell ref="A23:B23"/>
    <mergeCell ref="H23:I23"/>
    <mergeCell ref="A24:B25"/>
    <mergeCell ref="H13:I13"/>
    <mergeCell ref="H14:I14"/>
    <mergeCell ref="H15:I15"/>
    <mergeCell ref="H16:I16"/>
    <mergeCell ref="H17:I17"/>
    <mergeCell ref="H18:I18"/>
    <mergeCell ref="H7:I7"/>
    <mergeCell ref="H8:I8"/>
    <mergeCell ref="H9:I9"/>
    <mergeCell ref="H10:I10"/>
    <mergeCell ref="H11:I11"/>
    <mergeCell ref="H12:I12"/>
    <mergeCell ref="A1:J1"/>
    <mergeCell ref="A3:J3"/>
    <mergeCell ref="A4:A6"/>
    <mergeCell ref="B4:B6"/>
    <mergeCell ref="C4:I4"/>
    <mergeCell ref="J4:J6"/>
    <mergeCell ref="C5:F5"/>
    <mergeCell ref="G5:I5"/>
    <mergeCell ref="H6:I6"/>
  </mergeCells>
  <pageMargins left="0.511811024" right="0.511811024" top="0.78740157499999996" bottom="0.78740157499999996" header="0.31496062000000002" footer="0.31496062000000002"/>
  <pageSetup paperSize="9"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8</vt:i4>
      </vt:variant>
      <vt:variant>
        <vt:lpstr>Intervalos Nomeados</vt:lpstr>
      </vt:variant>
      <vt:variant>
        <vt:i4>4</vt:i4>
      </vt:variant>
    </vt:vector>
  </HeadingPairs>
  <TitlesOfParts>
    <vt:vector size="12" baseType="lpstr">
      <vt:lpstr>PLANILHA</vt:lpstr>
      <vt:lpstr>MEMORIA</vt:lpstr>
      <vt:lpstr>CRONOGRAMA</vt:lpstr>
      <vt:lpstr>QCI</vt:lpstr>
      <vt:lpstr>CPU RAMPA</vt:lpstr>
      <vt:lpstr>COTAÇÃO 1</vt:lpstr>
      <vt:lpstr>COTAÇÃO 2</vt:lpstr>
      <vt:lpstr>BDI</vt:lpstr>
      <vt:lpstr>CRONOGRAMA!Area_de_impressao</vt:lpstr>
      <vt:lpstr>MEMORIA!Area_de_impressao</vt:lpstr>
      <vt:lpstr>PLANILHA!Area_de_impressao</vt:lpstr>
      <vt:lpstr>QCI!Area_de_impressao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GEPAD</dc:creator>
  <cp:lastModifiedBy>ALDIR</cp:lastModifiedBy>
  <cp:lastPrinted>2022-06-28T17:08:57Z</cp:lastPrinted>
  <dcterms:created xsi:type="dcterms:W3CDTF">2018-09-12T17:10:17Z</dcterms:created>
  <dcterms:modified xsi:type="dcterms:W3CDTF">2022-06-28T17:09:30Z</dcterms:modified>
</cp:coreProperties>
</file>